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.shortcut-targets-by-id/0B0sSVemsIFYZflh4R0s0N0tMZGFKdmxDWXYyd3piTWcyVmpiMmN4ZmF4dzhxME9kazVXYlk/COMISION DEPORTIVA - DOCUMENTACION/0099- CAMPEONATOS/2022/07 CIRCUITO/05 JEREZ CAVA/"/>
    </mc:Choice>
  </mc:AlternateContent>
  <xr:revisionPtr revIDLastSave="0" documentId="13_ncr:1_{0A0B05CF-4AB9-944D-9560-AA36629FC94A}" xr6:coauthVersionLast="47" xr6:coauthVersionMax="47" xr10:uidLastSave="{00000000-0000-0000-0000-000000000000}"/>
  <bookViews>
    <workbookView xWindow="10800" yWindow="1820" windowWidth="31140" windowHeight="2474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'!#REF!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'!#REF!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" l="1"/>
  <c r="H25" i="2" l="1"/>
  <c r="D25" i="2"/>
  <c r="D24" i="2"/>
  <c r="F23" i="2"/>
  <c r="D23" i="2"/>
  <c r="D22" i="2"/>
  <c r="D21" i="2"/>
  <c r="Q31" i="3" l="1"/>
  <c r="L110" i="1" l="1"/>
  <c r="AC3" i="6" l="1"/>
  <c r="AB3" i="6"/>
  <c r="M3" i="6"/>
  <c r="E3" i="6"/>
  <c r="AA3" i="6"/>
  <c r="Q60" i="1"/>
  <c r="Y3" i="6" s="1"/>
  <c r="W3" i="6"/>
  <c r="U3" i="6"/>
  <c r="T3" i="6"/>
  <c r="S3" i="6"/>
  <c r="R3" i="6"/>
  <c r="Q3" i="6"/>
  <c r="AG49" i="1"/>
  <c r="P3" i="6" s="1"/>
  <c r="O3" i="6"/>
  <c r="N3" i="6"/>
  <c r="L3" i="6"/>
  <c r="K3" i="6"/>
  <c r="J3" i="6"/>
  <c r="I3" i="6"/>
  <c r="AG40" i="1"/>
  <c r="H3" i="6" s="1"/>
  <c r="G3" i="6"/>
  <c r="F3" i="6"/>
  <c r="D3" i="6"/>
  <c r="C3" i="6"/>
  <c r="B3" i="6"/>
  <c r="C62" i="1"/>
  <c r="B18" i="2"/>
  <c r="C18" i="1" s="1"/>
  <c r="C114" i="1" s="1"/>
  <c r="C28" i="1"/>
  <c r="C22" i="1"/>
  <c r="C21" i="1"/>
  <c r="D75" i="1"/>
  <c r="D16" i="2"/>
  <c r="Z18" i="1" s="1"/>
  <c r="Z114" i="1" s="1"/>
  <c r="J29" i="2"/>
  <c r="M29" i="2" s="1"/>
  <c r="J31" i="2"/>
  <c r="F25" i="2"/>
  <c r="Q56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 s="1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C24" i="1"/>
  <c r="G117" i="1"/>
  <c r="AE119" i="1"/>
  <c r="G121" i="1"/>
  <c r="AK2" i="5" l="1"/>
  <c r="P35" i="3"/>
  <c r="N49" i="3"/>
  <c r="V3" i="6"/>
  <c r="Z119" i="1"/>
  <c r="BB2" i="5" s="1"/>
  <c r="AA56" i="1"/>
  <c r="C78" i="1"/>
  <c r="G78" i="1" s="1"/>
  <c r="AZ2" i="5"/>
  <c r="C26" i="1"/>
  <c r="C87" i="1"/>
  <c r="P33" i="3" l="1"/>
  <c r="Q57" i="1" s="1"/>
  <c r="P37" i="3" l="1"/>
  <c r="P39" i="3" s="1"/>
  <c r="W60" i="1" s="1"/>
  <c r="Z3" i="6" s="1"/>
  <c r="X3" i="6"/>
  <c r="BD2" i="5"/>
  <c r="BC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6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8" authorId="1" shapeId="0" xr:uid="{00000000-0006-0000-0000-000002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78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<sst xmlns="http://schemas.openxmlformats.org/spreadsheetml/2006/main" count="556" uniqueCount="427">
  <si>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</si>
  <si>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</si>
  <si>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</si>
  <si>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</si>
  <si>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</si>
  <si>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</si>
  <si>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</si>
  <si>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</si>
  <si>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</si>
  <si>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</si>
  <si>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</si>
  <si>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</si>
  <si>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</si>
  <si>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</si>
  <si>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</si>
  <si>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</si>
  <si>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</si>
  <si>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</si>
  <si>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</si>
  <si>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</si>
  <si>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</si>
  <si>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</si>
  <si>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</si>
  <si>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</si>
  <si>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</si>
  <si>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</si>
  <si>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</si>
  <si>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</si>
  <si>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</si>
  <si>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</si>
  <si>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</si>
  <si>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</si>
  <si>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</si>
  <si>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</si>
  <si>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</si>
  <si>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</si>
  <si>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</si>
  <si>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</si>
  <si>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</si>
  <si>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</si>
  <si>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</si>
  <si>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</si>
  <si>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</si>
  <si>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</si>
  <si>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</si>
  <si>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</si>
  <si>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</si>
  <si>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</si>
  <si>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</si>
  <si>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</si>
  <si>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</si>
  <si>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</si>
  <si>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</si>
  <si>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</si>
  <si>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</si>
  <si>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</si>
  <si>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</si>
  <si>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</si>
  <si>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</si>
  <si>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</si>
  <si>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</si>
  <si>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</si>
  <si>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</si>
  <si>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</si>
  <si>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</si>
  <si>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</si>
  <si>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</si>
  <si>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</si>
  <si>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</si>
  <si>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</si>
  <si>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</si>
  <si>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</si>
  <si>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</si>
  <si>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</si>
  <si>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</si>
  <si>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</si>
  <si>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</si>
  <si>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</si>
  <si>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</si>
  <si>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</si>
  <si>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</si>
  <si>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</si>
  <si>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</si>
  <si>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</si>
  <si>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</si>
  <si>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</si>
  <si>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</si>
  <si>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</si>
  <si>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</si>
  <si>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</si>
  <si>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</si>
  <si>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</si>
  <si>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</si>
  <si>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</si>
  <si>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</si>
  <si>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</si>
  <si>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</si>
  <si>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</si>
  <si>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</si>
  <si>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</si>
  <si>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</si>
  <si>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</si>
  <si>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</si>
  <si>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</si>
  <si>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</si>
  <si>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</si>
  <si>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</si>
  <si>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</si>
  <si>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</si>
  <si>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</si>
  <si>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</si>
  <si>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</si>
  <si>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</si>
  <si>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</si>
  <si>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</si>
  <si>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</si>
  <si>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</si>
  <si>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</si>
  <si>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</si>
  <si>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</si>
  <si>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</si>
  <si>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</si>
  <si>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</si>
  <si>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</si>
  <si>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</si>
  <si>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</si>
  <si>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</si>
  <si>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</si>
  <si>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</si>
  <si>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</si>
  <si>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</si>
  <si>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</si>
  <si>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</si>
  <si>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</si>
  <si>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</si>
  <si>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</si>
  <si>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</si>
  <si>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</si>
  <si>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</si>
  <si>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</si>
  <si>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</si>
  <si>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</si>
  <si>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</si>
  <si>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</si>
  <si>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</si>
  <si>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</si>
  <si>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</si>
  <si>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</si>
  <si>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</si>
  <si>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</si>
  <si>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</si>
  <si>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</si>
  <si>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</si>
  <si>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</si>
  <si>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</si>
  <si>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</si>
  <si>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</si>
  <si>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</si>
  <si>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</si>
  <si>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</si>
  <si>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</si>
  <si>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</si>
  <si>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</si>
  <si>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</si>
  <si>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</si>
  <si>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</si>
  <si>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</si>
  <si>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</si>
  <si>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</si>
  <si>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</si>
  <si>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</si>
  <si>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</si>
  <si>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</si>
  <si>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</si>
  <si>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</si>
  <si>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</si>
  <si>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</si>
  <si>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</si>
  <si>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</si>
  <si>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</si>
  <si>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</si>
  <si>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</si>
  <si>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</si>
  <si>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</si>
  <si>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</si>
  <si>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</si>
  <si>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</si>
  <si>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</si>
  <si>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</si>
  <si>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</si>
  <si>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</si>
  <si>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</si>
  <si>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</si>
  <si>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</si>
  <si>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</si>
  <si>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</si>
  <si>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</si>
  <si>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</si>
  <si>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</si>
  <si>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</si>
  <si>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</si>
  <si>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</si>
  <si>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</si>
  <si>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</si>
  <si>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</si>
  <si>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</si>
  <si>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</si>
  <si>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</si>
  <si>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</si>
  <si>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</si>
  <si>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</si>
  <si>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</si>
  <si>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</si>
  <si>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</si>
  <si>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</si>
  <si>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</si>
  <si>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</si>
  <si>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</si>
  <si>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</si>
  <si>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</si>
  <si>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IX</t>
  </si>
  <si>
    <t>X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</si>
  <si>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</si>
  <si>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</si>
  <si>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</si>
  <si>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</si>
  <si>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</si>
  <si>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</si>
  <si>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</si>
  <si>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</si>
  <si>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</si>
  <si>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</si>
  <si>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</si>
  <si>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</si>
  <si>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</si>
  <si>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</si>
  <si>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</si>
  <si>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</si>
  <si>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</si>
  <si>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</si>
  <si>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</si>
  <si>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</si>
  <si>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</si>
  <si>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</si>
  <si>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</si>
  <si>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</si>
  <si>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</si>
  <si>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</si>
  <si>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</si>
  <si>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</si>
  <si>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</si>
  <si>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</si>
  <si>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</si>
  <si>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</si>
  <si>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</si>
  <si>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</si>
  <si>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</si>
  <si>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</si>
  <si>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</si>
  <si>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</si>
  <si>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</si>
  <si>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</si>
  <si>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</si>
  <si>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</si>
  <si>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</si>
  <si>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</si>
  <si>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</si>
  <si>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</si>
  <si>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</si>
  <si>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</si>
  <si>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</si>
  <si>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</si>
  <si>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</si>
  <si>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</si>
  <si>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</si>
  <si>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</si>
  <si>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</si>
  <si>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</si>
  <si>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</si>
  <si>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</si>
  <si>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</si>
  <si>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</si>
  <si>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</si>
  <si>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</si>
  <si>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</si>
  <si>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</si>
  <si>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</si>
  <si>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</si>
  <si>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</si>
  <si>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</si>
  <si>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</si>
  <si>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</si>
  <si>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</si>
  <si>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</si>
  <si>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</si>
  <si>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</si>
  <si>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</si>
  <si>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</si>
  <si>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</si>
  <si>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</si>
  <si>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</si>
  <si>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</si>
  <si>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</si>
  <si>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</si>
  <si>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</si>
  <si>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>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</si>
  <si>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CADIZ</t>
  </si>
  <si>
    <t>11600</t>
  </si>
  <si>
    <t>UBRIQUE</t>
  </si>
  <si>
    <t>GRANADA</t>
  </si>
  <si>
    <t>AC BALCON ALMANZORA</t>
  </si>
  <si>
    <t>Avda. de Circunvalación nº 12</t>
  </si>
  <si>
    <t>04877</t>
  </si>
  <si>
    <t>acbdalmanzora@hotmail.com</t>
  </si>
  <si>
    <t>RS SPORT</t>
  </si>
  <si>
    <t>648 29 27 01</t>
  </si>
  <si>
    <t>rssport01@gmail.com</t>
  </si>
  <si>
    <t>Campeonato de Andalucia                                                       RALLYES 2017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</si>
  <si>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</si>
  <si>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</si>
  <si>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</si>
  <si>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SA(2000,2005,2010) SAH (2010)                                                              </t>
    </r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</si>
  <si>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</si>
  <si>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</si>
  <si>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</si>
  <si>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</si>
  <si>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</si>
  <si>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</si>
  <si>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</si>
  <si>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</si>
  <si>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</si>
  <si>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</si>
  <si>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</si>
  <si>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</si>
  <si>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</si>
  <si>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</si>
  <si>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</si>
  <si>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</si>
  <si>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</si>
  <si>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</si>
  <si>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</si>
  <si>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</si>
  <si>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</si>
  <si>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</si>
  <si>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</si>
  <si>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</si>
  <si>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</si>
  <si>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</si>
  <si>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</si>
  <si>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+3500</t>
  </si>
  <si>
    <t>XII</t>
  </si>
  <si>
    <t>XIII</t>
  </si>
  <si>
    <t>XIV</t>
  </si>
  <si>
    <t>XV</t>
  </si>
  <si>
    <t>22-23/03/2019</t>
  </si>
  <si>
    <t>11-12/05/2019</t>
  </si>
  <si>
    <t>24-25/05/2019</t>
  </si>
  <si>
    <t>8-9/6/2019</t>
  </si>
  <si>
    <t>13-14/09/2019</t>
  </si>
  <si>
    <t>1-2/11/2019</t>
  </si>
  <si>
    <t>15-16/11/2019</t>
  </si>
  <si>
    <t>Nº ITV HISTORICOS - F2000</t>
  </si>
  <si>
    <t>FEMINA (S/N)</t>
  </si>
  <si>
    <t>1-2/03/2019</t>
  </si>
  <si>
    <t>I - RALLYCRONO LA CAROLINA</t>
  </si>
  <si>
    <t>ESCUDERIA CLASICOS ALCALA</t>
  </si>
  <si>
    <t>ABEN-ZAYDE 2 BJ/PUB MARBELLA</t>
  </si>
  <si>
    <t>ALCALA LA REAL</t>
  </si>
  <si>
    <t>JAEN</t>
  </si>
  <si>
    <t>subidanoalejo@gmail.com</t>
  </si>
  <si>
    <t>II - RALLYCRONO VELEZ BLANCO</t>
  </si>
  <si>
    <t>IV - RALLYCRONO EL PURCHE</t>
  </si>
  <si>
    <t>AC GRANADA 2001</t>
  </si>
  <si>
    <t>LUIS BUÑUEL, 22 3 b</t>
  </si>
  <si>
    <t>18200</t>
  </si>
  <si>
    <t>MARACENA</t>
  </si>
  <si>
    <t>958 9582271</t>
  </si>
  <si>
    <t>organizacion.subidalanjaron@gmail.com</t>
  </si>
  <si>
    <t>III - RALLYCRONO CIUDAD DE ENIX</t>
  </si>
  <si>
    <t>C.D. HEREJE COMPETICIÓN</t>
  </si>
  <si>
    <t>C/ Osa Mayor 4</t>
  </si>
  <si>
    <t>04009</t>
  </si>
  <si>
    <t>Almeria</t>
  </si>
  <si>
    <t>696979000 </t>
  </si>
  <si>
    <t>herejecompeticion@gmail.com</t>
  </si>
  <si>
    <t>I - RALLYCRONO ALCALA LA REAL</t>
  </si>
  <si>
    <t>I - RALLYCRONO GADOR</t>
  </si>
  <si>
    <t>ESC. VALLE DEL ANDARAX</t>
  </si>
  <si>
    <t>CALLE FELIX RGUEZ DE LA FUENTE,13</t>
  </si>
  <si>
    <t>RIOJA</t>
  </si>
  <si>
    <t>696 51 82 54</t>
  </si>
  <si>
    <t>a.r.racing@hotmail.com</t>
  </si>
  <si>
    <t>II - RALLYCRONO DE NAVIDAD</t>
  </si>
  <si>
    <t>C/ TENERIA 11</t>
  </si>
  <si>
    <t>III - RALLYCRONO CANTORIA</t>
  </si>
  <si>
    <t xml:space="preserve">Vehículos Grupo N </t>
  </si>
  <si>
    <t>Vehículos Grupo A</t>
  </si>
  <si>
    <t>Vehículos F2000</t>
  </si>
  <si>
    <t>Vehículos S1600</t>
  </si>
  <si>
    <t>Vehículos S2000</t>
  </si>
  <si>
    <t>Vehículos N+ , R4</t>
  </si>
  <si>
    <t>Vehículos GT</t>
  </si>
  <si>
    <t>S16</t>
  </si>
  <si>
    <t>S20</t>
  </si>
  <si>
    <t>R</t>
  </si>
  <si>
    <t>N+</t>
  </si>
  <si>
    <t>GT</t>
  </si>
  <si>
    <t>A2</t>
  </si>
  <si>
    <t>Vehículos Grupo R 1-2-3</t>
  </si>
  <si>
    <t>KITCAR</t>
  </si>
  <si>
    <t>KC</t>
  </si>
  <si>
    <t>R5 N5</t>
  </si>
  <si>
    <t>R5</t>
  </si>
  <si>
    <t>CATEGORÍA I</t>
  </si>
  <si>
    <t>CATEGORÍA II</t>
  </si>
  <si>
    <t>CATEGORÍA I.</t>
  </si>
  <si>
    <t>MEMORIAL PACO MELERO</t>
  </si>
  <si>
    <t>FEDERACIÓN ANDALUZA DE AUTOMOVILISMO</t>
  </si>
  <si>
    <t>C/ Sto. Domingo, nº 22 Local 1- Edif. Almería</t>
  </si>
  <si>
    <t xml:space="preserve">11402 </t>
  </si>
  <si>
    <t>Jerez de la Frontera</t>
  </si>
  <si>
    <t>956 038 586</t>
  </si>
  <si>
    <t>administracion@faa.net</t>
  </si>
  <si>
    <t>0200155516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</si>
  <si>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</si>
  <si>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</si>
  <si>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JEREZ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</si>
</sst>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3"/>
      <name val="Tahoma"/>
      <family val="2"/>
    </font>
    <font>
      <sz val="9"/>
      <color indexed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8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19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7" fillId="0" borderId="0" xfId="0" applyNumberFormat="1" applyFont="1"/>
    <xf numFmtId="0" fontId="37" fillId="0" borderId="0" xfId="0" applyFont="1"/>
    <xf numFmtId="0" fontId="37" fillId="0" borderId="0" xfId="0" quotePrefix="1" applyFont="1"/>
    <xf numFmtId="0" fontId="58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53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1" fillId="0" borderId="0" xfId="0" applyFont="1" applyAlignment="1" applyProtection="1">
      <alignment vertical="center"/>
      <protection hidden="1"/>
    </xf>
    <xf numFmtId="0" fontId="41" fillId="0" borderId="21" xfId="0" applyFont="1" applyBorder="1" applyAlignment="1" applyProtection="1">
      <alignment vertical="center"/>
      <protection hidden="1"/>
    </xf>
    <xf numFmtId="0" fontId="41" fillId="0" borderId="15" xfId="0" applyFont="1" applyBorder="1" applyAlignment="1" applyProtection="1">
      <alignment vertical="center"/>
      <protection hidden="1"/>
    </xf>
    <xf numFmtId="0" fontId="41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Border="1" applyAlignment="1">
      <alignment vertical="center"/>
    </xf>
    <xf numFmtId="1" fontId="43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1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7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/>
    </xf>
    <xf numFmtId="0" fontId="75" fillId="0" borderId="0" xfId="0" applyFont="1"/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5" fillId="0" borderId="0" xfId="0" applyFont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8" fillId="3" borderId="0" xfId="0" applyFont="1" applyFill="1"/>
    <xf numFmtId="0" fontId="79" fillId="0" borderId="0" xfId="0" applyFont="1" applyAlignment="1" applyProtection="1">
      <alignment vertical="center" wrapText="1"/>
      <protection hidden="1"/>
    </xf>
    <xf numFmtId="0" fontId="79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9" fillId="0" borderId="28" xfId="0" applyFont="1" applyBorder="1" applyAlignment="1" applyProtection="1">
      <alignment vertical="center" wrapText="1"/>
      <protection hidden="1"/>
    </xf>
    <xf numFmtId="0" fontId="79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75" fillId="0" borderId="0" xfId="0" applyFont="1" applyAlignment="1">
      <alignment horizontal="left"/>
    </xf>
    <xf numFmtId="0" fontId="83" fillId="0" borderId="16" xfId="0" applyFont="1" applyBorder="1" applyAlignment="1">
      <alignment horizontal="center" vertical="center" wrapText="1"/>
    </xf>
    <xf numFmtId="1" fontId="83" fillId="0" borderId="16" xfId="0" applyNumberFormat="1" applyFont="1" applyBorder="1" applyAlignment="1">
      <alignment horizontal="center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7" fillId="0" borderId="0" xfId="2" applyFont="1" applyAlignment="1" applyProtection="1">
      <alignment horizontal="left" vertical="center"/>
    </xf>
    <xf numFmtId="0" fontId="88" fillId="0" borderId="0" xfId="0" applyFont="1" applyAlignment="1">
      <alignment horizontal="left"/>
    </xf>
    <xf numFmtId="0" fontId="77" fillId="0" borderId="0" xfId="2" applyFont="1" applyAlignment="1">
      <alignment horizontal="left" vertical="center"/>
      <protection locked="0"/>
    </xf>
    <xf numFmtId="0" fontId="77" fillId="0" borderId="0" xfId="2" applyFont="1" applyAlignment="1" applyProtection="1">
      <alignment horizontal="left"/>
    </xf>
    <xf numFmtId="0" fontId="89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9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91" fillId="0" borderId="0" xfId="2" applyFont="1" applyAlignment="1">
      <alignment horizontal="left" vertical="center"/>
      <protection locked="0"/>
    </xf>
    <xf numFmtId="0" fontId="75" fillId="0" borderId="0" xfId="0" applyFont="1" applyAlignment="1" applyProtection="1">
      <alignment vertical="center"/>
      <protection locked="0"/>
    </xf>
    <xf numFmtId="0" fontId="1" fillId="9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75" fillId="0" borderId="0" xfId="0" applyNumberFormat="1" applyFont="1" applyAlignment="1" applyProtection="1">
      <alignment horizontal="center" vertical="center"/>
      <protection locked="0"/>
    </xf>
    <xf numFmtId="0" fontId="21" fillId="0" borderId="0" xfId="2" applyAlignment="1">
      <alignment horizontal="left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75" fillId="0" borderId="0" xfId="0" applyNumberFormat="1" applyFont="1" applyAlignment="1">
      <alignment horizontal="center"/>
    </xf>
    <xf numFmtId="0" fontId="75" fillId="16" borderId="0" xfId="0" applyFont="1" applyFill="1" applyAlignment="1">
      <alignment vertical="center"/>
    </xf>
    <xf numFmtId="0" fontId="21" fillId="0" borderId="0" xfId="2" applyAlignment="1" applyProtection="1">
      <alignment horizontal="left" vertical="center"/>
    </xf>
    <xf numFmtId="168" fontId="2" fillId="0" borderId="0" xfId="0" applyNumberFormat="1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6" fillId="0" borderId="16" xfId="0" applyFont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1" fillId="0" borderId="32" xfId="0" applyFont="1" applyBorder="1" applyAlignment="1" applyProtection="1">
      <alignment horizontal="center" vertical="center"/>
      <protection hidden="1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33" xfId="0" applyFont="1" applyBorder="1" applyAlignment="1" applyProtection="1">
      <alignment horizontal="center" vertical="center"/>
      <protection hidden="1"/>
    </xf>
    <xf numFmtId="0" fontId="41" fillId="0" borderId="34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7" fillId="0" borderId="13" xfId="0" applyNumberFormat="1" applyFont="1" applyBorder="1" applyAlignment="1" applyProtection="1">
      <alignment horizontal="center" vertical="center"/>
      <protection hidden="1"/>
    </xf>
    <xf numFmtId="164" fontId="57" fillId="0" borderId="10" xfId="0" applyNumberFormat="1" applyFont="1" applyBorder="1" applyAlignment="1" applyProtection="1">
      <alignment horizontal="center" vertical="center"/>
      <protection hidden="1"/>
    </xf>
    <xf numFmtId="164" fontId="57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4" fillId="0" borderId="49" xfId="0" applyNumberFormat="1" applyFont="1" applyBorder="1" applyAlignment="1" applyProtection="1">
      <alignment horizontal="center" vertical="center"/>
      <protection locked="0" hidden="1"/>
    </xf>
    <xf numFmtId="49" fontId="44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4" fillId="0" borderId="49" xfId="0" applyFont="1" applyBorder="1" applyAlignment="1" applyProtection="1">
      <alignment horizontal="center" vertical="center"/>
      <protection hidden="1"/>
    </xf>
    <xf numFmtId="0" fontId="55" fillId="0" borderId="49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1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1" fillId="0" borderId="44" xfId="0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2" fillId="12" borderId="23" xfId="0" applyNumberFormat="1" applyFont="1" applyFill="1" applyBorder="1" applyAlignment="1" applyProtection="1">
      <alignment horizontal="center" vertical="center"/>
      <protection hidden="1"/>
    </xf>
    <xf numFmtId="14" fontId="42" fillId="12" borderId="33" xfId="0" applyNumberFormat="1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" fontId="4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Alignment="1" applyProtection="1">
      <alignment horizontal="center" vertical="center"/>
      <protection locked="0"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3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0" fontId="53" fillId="0" borderId="18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1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40" fillId="0" borderId="9" xfId="0" applyNumberFormat="1" applyFont="1" applyBorder="1" applyAlignment="1" applyProtection="1">
      <alignment horizontal="center" vertical="center"/>
      <protection hidden="1"/>
    </xf>
    <xf numFmtId="170" fontId="40" fillId="0" borderId="7" xfId="0" applyNumberFormat="1" applyFont="1" applyBorder="1" applyAlignment="1" applyProtection="1">
      <alignment horizontal="center" vertical="center"/>
      <protection hidden="1"/>
    </xf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Alignment="1" applyProtection="1">
      <alignment horizontal="center" vertical="center"/>
      <protection hidden="1"/>
    </xf>
    <xf numFmtId="170" fontId="40" fillId="0" borderId="2" xfId="0" applyNumberFormat="1" applyFont="1" applyBorder="1" applyAlignment="1" applyProtection="1">
      <alignment horizontal="center" vertical="center"/>
      <protection hidden="1"/>
    </xf>
    <xf numFmtId="170" fontId="40" fillId="0" borderId="36" xfId="0" applyNumberFormat="1" applyFont="1" applyBorder="1" applyAlignment="1" applyProtection="1">
      <alignment horizontal="center" vertical="center"/>
      <protection hidden="1"/>
    </xf>
    <xf numFmtId="170" fontId="40" fillId="0" borderId="15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0" fontId="41" fillId="0" borderId="12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37" xfId="0" applyFont="1" applyBorder="1" applyAlignment="1" applyProtection="1">
      <alignment horizontal="center" vertical="center" wrapText="1"/>
      <protection hidden="1"/>
    </xf>
    <xf numFmtId="0" fontId="41" fillId="0" borderId="34" xfId="0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0" fontId="80" fillId="0" borderId="41" xfId="0" applyFont="1" applyBorder="1" applyAlignment="1" applyProtection="1">
      <alignment horizontal="center" vertical="center" wrapText="1"/>
      <protection hidden="1"/>
    </xf>
    <xf numFmtId="0" fontId="80" fillId="0" borderId="42" xfId="0" applyFont="1" applyBorder="1" applyAlignment="1" applyProtection="1">
      <alignment horizontal="center" vertical="center" wrapText="1"/>
      <protection hidden="1"/>
    </xf>
    <xf numFmtId="0" fontId="80" fillId="0" borderId="43" xfId="0" applyFont="1" applyBorder="1" applyAlignment="1" applyProtection="1">
      <alignment horizontal="center" vertical="center" wrapText="1"/>
      <protection hidden="1"/>
    </xf>
    <xf numFmtId="0" fontId="80" fillId="0" borderId="26" xfId="0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 applyProtection="1">
      <alignment horizontal="center" vertical="center" wrapText="1"/>
      <protection hidden="1"/>
    </xf>
    <xf numFmtId="0" fontId="80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1" fillId="0" borderId="3" xfId="0" applyNumberFormat="1" applyFont="1" applyBorder="1" applyAlignment="1" applyProtection="1">
      <alignment horizontal="center" vertical="center" wrapText="1"/>
      <protection hidden="1"/>
    </xf>
    <xf numFmtId="14" fontId="41" fillId="0" borderId="5" xfId="0" applyNumberFormat="1" applyFont="1" applyBorder="1" applyAlignment="1" applyProtection="1">
      <alignment horizontal="center" vertical="center" wrapText="1"/>
      <protection hidden="1"/>
    </xf>
    <xf numFmtId="14" fontId="41" fillId="0" borderId="34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12" xfId="0" applyNumberFormat="1" applyFont="1" applyBorder="1" applyAlignment="1" applyProtection="1">
      <alignment horizontal="center" vertical="center" wrapText="1"/>
      <protection hidden="1"/>
    </xf>
    <xf numFmtId="14" fontId="41" fillId="0" borderId="37" xfId="0" applyNumberFormat="1" applyFont="1" applyBorder="1" applyAlignment="1" applyProtection="1">
      <alignment horizontal="center" vertical="center" wrapText="1"/>
      <protection hidden="1"/>
    </xf>
    <xf numFmtId="0" fontId="48" fillId="0" borderId="13" xfId="0" applyFont="1" applyBorder="1" applyAlignment="1" applyProtection="1">
      <alignment horizontal="center" vertical="distributed" wrapText="1" readingOrder="1"/>
      <protection hidden="1"/>
    </xf>
    <xf numFmtId="0" fontId="48" fillId="0" borderId="7" xfId="0" applyFont="1" applyBorder="1" applyAlignment="1" applyProtection="1">
      <alignment horizontal="center" vertical="distributed" wrapText="1" readingOrder="1"/>
      <protection hidden="1"/>
    </xf>
    <xf numFmtId="0" fontId="48" fillId="0" borderId="8" xfId="0" applyFont="1" applyBorder="1" applyAlignment="1" applyProtection="1">
      <alignment horizontal="center" vertical="distributed" wrapText="1" readingOrder="1"/>
      <protection hidden="1"/>
    </xf>
    <xf numFmtId="0" fontId="48" fillId="0" borderId="1" xfId="0" applyFont="1" applyBorder="1" applyAlignment="1" applyProtection="1">
      <alignment horizontal="center" vertical="distributed" wrapText="1" readingOrder="1"/>
      <protection hidden="1"/>
    </xf>
    <xf numFmtId="0" fontId="48" fillId="0" borderId="0" xfId="0" applyFont="1" applyAlignment="1" applyProtection="1">
      <alignment horizontal="center" vertical="distributed" wrapText="1" readingOrder="1"/>
      <protection hidden="1"/>
    </xf>
    <xf numFmtId="0" fontId="48" fillId="0" borderId="6" xfId="0" applyFont="1" applyBorder="1" applyAlignment="1" applyProtection="1">
      <alignment horizontal="center" vertical="distributed" wrapText="1" readingOrder="1"/>
      <protection hidden="1"/>
    </xf>
    <xf numFmtId="0" fontId="48" fillId="0" borderId="21" xfId="0" applyFont="1" applyBorder="1" applyAlignment="1" applyProtection="1">
      <alignment horizontal="center" vertical="distributed" wrapText="1" readingOrder="1"/>
      <protection hidden="1"/>
    </xf>
    <xf numFmtId="0" fontId="48" fillId="0" borderId="15" xfId="0" applyFont="1" applyBorder="1" applyAlignment="1" applyProtection="1">
      <alignment horizontal="center" vertical="distributed" wrapText="1" readingOrder="1"/>
      <protection hidden="1"/>
    </xf>
    <xf numFmtId="0" fontId="48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82" fillId="0" borderId="15" xfId="0" applyFont="1" applyBorder="1" applyAlignment="1">
      <alignment horizontal="center" vertical="center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49" fontId="39" fillId="0" borderId="20" xfId="0" quotePrefix="1" applyNumberFormat="1" applyFont="1" applyBorder="1" applyAlignment="1" applyProtection="1">
      <alignment horizontal="center" vertical="center"/>
      <protection locked="0"/>
    </xf>
    <xf numFmtId="166" fontId="38" fillId="0" borderId="79" xfId="0" applyNumberFormat="1" applyFont="1" applyBorder="1" applyAlignment="1">
      <alignment horizontal="right" vertical="center"/>
    </xf>
    <xf numFmtId="166" fontId="38" fillId="0" borderId="80" xfId="0" applyNumberFormat="1" applyFont="1" applyBorder="1" applyAlignment="1">
      <alignment horizontal="right" vertical="center"/>
    </xf>
    <xf numFmtId="166" fontId="38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8" fillId="0" borderId="80" xfId="0" applyNumberFormat="1" applyFont="1" applyBorder="1" applyAlignment="1" applyProtection="1">
      <alignment horizontal="right" vertical="center"/>
      <protection locked="0"/>
    </xf>
    <xf numFmtId="166" fontId="38" fillId="0" borderId="19" xfId="0" applyNumberFormat="1" applyFont="1" applyBorder="1" applyAlignment="1" applyProtection="1">
      <alignment horizontal="right" vertical="center"/>
      <protection locked="0"/>
    </xf>
    <xf numFmtId="166" fontId="38" fillId="0" borderId="20" xfId="0" applyNumberFormat="1" applyFont="1" applyBorder="1" applyAlignment="1" applyProtection="1">
      <alignment horizontal="right" vertical="center"/>
      <protection locked="0"/>
    </xf>
    <xf numFmtId="14" fontId="38" fillId="0" borderId="80" xfId="0" applyNumberFormat="1" applyFont="1" applyBorder="1" applyAlignment="1">
      <alignment horizontal="right" vertical="center"/>
    </xf>
    <xf numFmtId="14" fontId="38" fillId="0" borderId="19" xfId="0" applyNumberFormat="1" applyFont="1" applyBorder="1" applyAlignment="1">
      <alignment horizontal="right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fmlaLink="Trofeo7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Publicida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60</xdr:row>
      <xdr:rowOff>0</xdr:rowOff>
    </xdr:from>
    <xdr:to>
      <xdr:col>32</xdr:col>
      <xdr:colOff>181028</xdr:colOff>
      <xdr:row>60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59</xdr:row>
      <xdr:rowOff>38100</xdr:rowOff>
    </xdr:from>
    <xdr:to>
      <xdr:col>33</xdr:col>
      <xdr:colOff>67094</xdr:colOff>
      <xdr:row>62</xdr:row>
      <xdr:rowOff>9524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768703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59</xdr:row>
          <xdr:rowOff>0</xdr:rowOff>
        </xdr:from>
        <xdr:to>
          <xdr:col>27</xdr:col>
          <xdr:colOff>101600</xdr:colOff>
          <xdr:row>60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ubidanoalejo@gmail.com" TargetMode="External"/><Relationship Id="rId7" Type="http://schemas.openxmlformats.org/officeDocument/2006/relationships/hyperlink" Target="mailto:administracion@faa.net" TargetMode="External"/><Relationship Id="rId2" Type="http://schemas.openxmlformats.org/officeDocument/2006/relationships/hyperlink" Target="mailto:organizacion.subidalanjaron@gmail.com" TargetMode="External"/><Relationship Id="rId1" Type="http://schemas.openxmlformats.org/officeDocument/2006/relationships/hyperlink" Target="mailto:acbdalmanzora@hotmail.com" TargetMode="External"/><Relationship Id="rId6" Type="http://schemas.openxmlformats.org/officeDocument/2006/relationships/hyperlink" Target="mailto:subidanoalejo@gmail.com" TargetMode="External"/><Relationship Id="rId5" Type="http://schemas.openxmlformats.org/officeDocument/2006/relationships/hyperlink" Target="mailto:herejecompeticion@gmail.com" TargetMode="External"/><Relationship Id="rId4" Type="http://schemas.openxmlformats.org/officeDocument/2006/relationships/hyperlink" Target="mailto:acbdalmanzo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H35" sqref="H35"/>
    </sheetView>
  </sheetViews>
  <sheetFormatPr baseColWidth="10" defaultColWidth="0" defaultRowHeight="0" customHeight="1" zeroHeight="1" x14ac:dyDescent="0.15"/>
  <cols>
    <col min="1" max="1" width="6.6640625" style="55" customWidth="1"/>
    <col min="2" max="2" width="2.5" style="55" customWidth="1"/>
    <col min="3" max="3" width="4.6640625" style="55" customWidth="1"/>
    <col min="4" max="7" width="3.5" style="55" customWidth="1"/>
    <col min="8" max="8" width="4.5" style="55" customWidth="1"/>
    <col min="9" max="9" width="2.33203125" style="55" customWidth="1"/>
    <col min="10" max="10" width="3.5" style="55" customWidth="1"/>
    <col min="11" max="11" width="1.33203125" style="55" customWidth="1"/>
    <col min="12" max="12" width="7.33203125" style="55" customWidth="1"/>
    <col min="13" max="14" width="3.5" style="55" customWidth="1"/>
    <col min="15" max="15" width="2.6640625" style="55" customWidth="1"/>
    <col min="16" max="16" width="2" style="55" customWidth="1"/>
    <col min="17" max="17" width="3.6640625" style="55" customWidth="1"/>
    <col min="18" max="18" width="2" style="55" customWidth="1"/>
    <col min="19" max="19" width="1.1640625" style="55" customWidth="1"/>
    <col min="20" max="21" width="2" style="55" customWidth="1"/>
    <col min="22" max="23" width="3.5" style="55" customWidth="1"/>
    <col min="24" max="24" width="4.6640625" style="55" customWidth="1"/>
    <col min="25" max="26" width="2.6640625" style="55" customWidth="1"/>
    <col min="27" max="27" width="3.33203125" style="55" customWidth="1"/>
    <col min="28" max="28" width="3.5" style="55" customWidth="1"/>
    <col min="29" max="29" width="2.6640625" style="55" customWidth="1"/>
    <col min="30" max="30" width="2" style="55" customWidth="1"/>
    <col min="31" max="31" width="3.5" style="55" customWidth="1"/>
    <col min="32" max="32" width="4.5" style="55" customWidth="1"/>
    <col min="33" max="33" width="3.5" style="55" customWidth="1"/>
    <col min="34" max="34" width="2.5" style="55" customWidth="1"/>
    <col min="35" max="35" width="6.5" style="55" customWidth="1"/>
    <col min="36" max="36" width="1.1640625" style="55" hidden="1" customWidth="1"/>
    <col min="37" max="16384" width="11.5" style="55" hidden="1"/>
  </cols>
  <sheetData>
    <row r="1" spans="2:35" ht="5" customHeight="1" x14ac:dyDescent="0.15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55" t="s">
        <v>294</v>
      </c>
    </row>
    <row r="2" spans="2:35" s="56" customFormat="1" ht="3.75" customHeight="1" x14ac:dyDescent="0.15"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2:35" s="56" customFormat="1" ht="21.75" customHeight="1" x14ac:dyDescent="0.15">
      <c r="B3" s="53"/>
      <c r="C3" s="406" t="s">
        <v>295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54"/>
    </row>
    <row r="4" spans="2:35" s="56" customFormat="1" ht="12" customHeight="1" x14ac:dyDescent="0.15">
      <c r="B4" s="53"/>
      <c r="C4" s="57" t="s">
        <v>52</v>
      </c>
      <c r="D4" s="48" t="s">
        <v>51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54"/>
    </row>
    <row r="5" spans="2:35" s="56" customFormat="1" ht="12" customHeight="1" x14ac:dyDescent="0.15">
      <c r="B5" s="53"/>
      <c r="C5" s="57" t="s">
        <v>53</v>
      </c>
      <c r="D5" s="48" t="s">
        <v>191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54"/>
    </row>
    <row r="6" spans="2:35" s="56" customFormat="1" ht="24" customHeight="1" x14ac:dyDescent="0.15">
      <c r="B6" s="390" t="s">
        <v>192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2"/>
    </row>
    <row r="7" spans="2:35" ht="5" customHeight="1" x14ac:dyDescent="0.15">
      <c r="B7" s="58"/>
      <c r="C7" s="59"/>
      <c r="D7" s="60"/>
      <c r="E7" s="61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35" ht="12.75" customHeight="1" x14ac:dyDescent="0.15">
      <c r="B8" s="395" t="str">
        <f>Opcion</f>
        <v>ESTADO NORMAL (Todos los datos visibles)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64"/>
      <c r="P8" s="58"/>
      <c r="Q8" s="397" t="s">
        <v>176</v>
      </c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9"/>
    </row>
    <row r="9" spans="2:35" s="56" customFormat="1" ht="12.75" customHeight="1" x14ac:dyDescent="0.15">
      <c r="B9" s="393" t="str">
        <f>Opcion2</f>
        <v>Active la casilla para imprimir un Boletín de Inscripción vacío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62"/>
      <c r="Q9" s="400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2"/>
    </row>
    <row r="10" spans="2:35" ht="9" customHeight="1" x14ac:dyDescent="0.15">
      <c r="B10" s="58"/>
      <c r="C10" s="59"/>
      <c r="D10" s="60"/>
      <c r="E10" s="6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2:35" ht="13.5" customHeight="1" x14ac:dyDescent="0.15">
      <c r="B11" s="15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4"/>
    </row>
    <row r="12" spans="2:35" ht="17.25" customHeight="1" x14ac:dyDescent="0.15">
      <c r="B12" s="27"/>
      <c r="C12" s="5"/>
      <c r="D12" s="5"/>
      <c r="E12" s="5"/>
      <c r="F12" s="5"/>
      <c r="G12" s="413">
        <f ca="1">NOW()</f>
        <v>44882.527974999997</v>
      </c>
      <c r="H12" s="413"/>
      <c r="I12" s="413"/>
      <c r="J12" s="413"/>
      <c r="K12" s="33"/>
      <c r="L12" s="423" t="s">
        <v>416</v>
      </c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33"/>
      <c r="AA12" s="33"/>
      <c r="AB12" s="33"/>
      <c r="AC12" s="33"/>
      <c r="AD12" s="33"/>
      <c r="AE12" s="33"/>
      <c r="AF12" s="33"/>
      <c r="AG12" s="33"/>
      <c r="AH12" s="28"/>
    </row>
    <row r="13" spans="2:35" ht="3" customHeight="1" x14ac:dyDescent="0.15">
      <c r="B13" s="2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8"/>
    </row>
    <row r="14" spans="2:35" ht="16.5" customHeight="1" x14ac:dyDescent="0.15">
      <c r="B14" s="27"/>
      <c r="C14" s="5"/>
      <c r="D14" s="5"/>
      <c r="E14" s="5"/>
      <c r="F14" s="5"/>
      <c r="G14" s="33"/>
      <c r="H14" s="33"/>
      <c r="I14" s="33"/>
      <c r="J14" s="33"/>
      <c r="K14" s="33"/>
      <c r="L14" s="424" t="s">
        <v>426</v>
      </c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33"/>
      <c r="AA14" s="33"/>
      <c r="AB14" s="33"/>
      <c r="AC14" s="33"/>
      <c r="AD14" s="33"/>
      <c r="AE14" s="33"/>
      <c r="AF14" s="33"/>
      <c r="AG14" s="33"/>
      <c r="AH14" s="28"/>
    </row>
    <row r="15" spans="2:35" ht="6.75" customHeight="1" x14ac:dyDescent="0.15">
      <c r="B15" s="27"/>
      <c r="C15" s="5"/>
      <c r="D15" s="5"/>
      <c r="E15" s="5"/>
      <c r="F15" s="5"/>
      <c r="G15" s="5"/>
      <c r="H15" s="109"/>
      <c r="I15" s="109"/>
      <c r="J15" s="109"/>
      <c r="K15" s="109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109"/>
      <c r="AA15" s="109"/>
      <c r="AB15" s="109"/>
      <c r="AC15" s="109"/>
      <c r="AD15" s="109"/>
      <c r="AE15" s="109"/>
      <c r="AF15" s="109"/>
      <c r="AG15" s="109"/>
      <c r="AH15" s="28"/>
    </row>
    <row r="16" spans="2:35" ht="2.25" customHeight="1" x14ac:dyDescent="0.15">
      <c r="B16" s="29">
        <v>3</v>
      </c>
      <c r="C16" s="5"/>
      <c r="D16" s="5"/>
      <c r="E16" s="5"/>
      <c r="F16" s="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8"/>
    </row>
    <row r="17" spans="2:34" ht="12" customHeight="1" x14ac:dyDescent="0.15">
      <c r="B17" s="29"/>
      <c r="C17" s="403" t="s">
        <v>19</v>
      </c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5"/>
      <c r="Y17" s="85"/>
      <c r="Z17" s="403" t="s">
        <v>186</v>
      </c>
      <c r="AA17" s="404"/>
      <c r="AB17" s="404"/>
      <c r="AC17" s="404"/>
      <c r="AD17" s="404"/>
      <c r="AE17" s="404"/>
      <c r="AF17" s="404"/>
      <c r="AG17" s="405"/>
      <c r="AH17" s="28"/>
    </row>
    <row r="18" spans="2:34" ht="6" customHeight="1" x14ac:dyDescent="0.15">
      <c r="B18" s="29"/>
      <c r="C18" s="407" t="str">
        <f>IF(Blanco=TRUE,"",' Derechos de Inscripción '!B18)</f>
        <v>MEMORIAL PACO MELERO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9"/>
      <c r="Y18" s="85"/>
      <c r="Z18" s="425">
        <f>IF(Blanco=TRUE,"",' Derechos de Inscripción '!$D$16)</f>
        <v>44906</v>
      </c>
      <c r="AA18" s="426"/>
      <c r="AB18" s="426"/>
      <c r="AC18" s="426"/>
      <c r="AD18" s="426"/>
      <c r="AE18" s="426"/>
      <c r="AF18" s="426"/>
      <c r="AG18" s="427"/>
      <c r="AH18" s="28"/>
    </row>
    <row r="19" spans="2:34" ht="12" customHeight="1" x14ac:dyDescent="0.15">
      <c r="B19" s="29"/>
      <c r="C19" s="410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2"/>
      <c r="Y19" s="85"/>
      <c r="Z19" s="428"/>
      <c r="AA19" s="429"/>
      <c r="AB19" s="429"/>
      <c r="AC19" s="429"/>
      <c r="AD19" s="429"/>
      <c r="AE19" s="429"/>
      <c r="AF19" s="429"/>
      <c r="AG19" s="430"/>
      <c r="AH19" s="28"/>
    </row>
    <row r="20" spans="2:34" ht="6" customHeight="1" x14ac:dyDescent="0.15">
      <c r="B20" s="29"/>
      <c r="C20" s="5"/>
      <c r="D20" s="5"/>
      <c r="E20" s="5"/>
      <c r="F20" s="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28"/>
    </row>
    <row r="21" spans="2:34" ht="20" customHeight="1" x14ac:dyDescent="0.15">
      <c r="B21" s="27"/>
      <c r="C21" s="387" t="str">
        <f>IF(Blanco=TRUE,"",' Derechos de Inscripción '!D21)</f>
        <v>FEDERACIÓN ANDALUZA DE AUTOMOVILISMO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9"/>
      <c r="Q21" s="5"/>
      <c r="R21" s="434" t="s">
        <v>171</v>
      </c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6"/>
      <c r="AH21" s="28"/>
    </row>
    <row r="22" spans="2:34" ht="6.75" customHeight="1" x14ac:dyDescent="0.15">
      <c r="B22" s="27"/>
      <c r="C22" s="420" t="str">
        <f>IF(Blanco=TRUE,"",' Derechos de Inscripción '!D22)</f>
        <v>C/ Sto. Domingo, nº 22 Local 1- Edif. Almería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2"/>
      <c r="Q22" s="5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28"/>
    </row>
    <row r="23" spans="2:34" ht="6.75" customHeight="1" x14ac:dyDescent="0.15">
      <c r="B23" s="27"/>
      <c r="C23" s="420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2"/>
      <c r="Q23" s="5"/>
      <c r="R23" s="437" t="s">
        <v>172</v>
      </c>
      <c r="S23" s="438"/>
      <c r="T23" s="438"/>
      <c r="U23" s="438"/>
      <c r="V23" s="438"/>
      <c r="W23" s="438"/>
      <c r="X23" s="438"/>
      <c r="Y23" s="438"/>
      <c r="Z23" s="439"/>
      <c r="AA23" s="443" t="s">
        <v>173</v>
      </c>
      <c r="AB23" s="444"/>
      <c r="AC23" s="444"/>
      <c r="AD23" s="445"/>
      <c r="AE23" s="437" t="s">
        <v>177</v>
      </c>
      <c r="AF23" s="438"/>
      <c r="AG23" s="439"/>
      <c r="AH23" s="28"/>
    </row>
    <row r="24" spans="2:34" ht="6.75" customHeight="1" x14ac:dyDescent="0.15">
      <c r="B24" s="27"/>
      <c r="C24" s="431" t="str">
        <f>IF(Blanco=TRUE,"",IF(TEXT(' Derechos de Inscripción '!D23,"00000")=" ","",TEXT(' Derechos de Inscripción '!D23,"00000")&amp;"-"&amp;' Derechos de Inscripción '!F23&amp;" "&amp;' Derechos de Inscripción '!D24))</f>
        <v>11402-Jerez de la Frontera (CADIZ)</v>
      </c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3"/>
      <c r="Q24" s="5"/>
      <c r="R24" s="440"/>
      <c r="S24" s="441"/>
      <c r="T24" s="441"/>
      <c r="U24" s="441"/>
      <c r="V24" s="441"/>
      <c r="W24" s="441"/>
      <c r="X24" s="441"/>
      <c r="Y24" s="441"/>
      <c r="Z24" s="442"/>
      <c r="AA24" s="446"/>
      <c r="AB24" s="447"/>
      <c r="AC24" s="447"/>
      <c r="AD24" s="448"/>
      <c r="AE24" s="440"/>
      <c r="AF24" s="441"/>
      <c r="AG24" s="442"/>
      <c r="AH24" s="28"/>
    </row>
    <row r="25" spans="2:34" ht="6.75" customHeight="1" x14ac:dyDescent="0.15">
      <c r="B25" s="27"/>
      <c r="C25" s="431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3"/>
      <c r="Q25" s="5"/>
      <c r="R25" s="462" t="s">
        <v>174</v>
      </c>
      <c r="S25" s="463"/>
      <c r="T25" s="463"/>
      <c r="U25" s="463"/>
      <c r="V25" s="414"/>
      <c r="W25" s="414"/>
      <c r="X25" s="414"/>
      <c r="Y25" s="414"/>
      <c r="Z25" s="415"/>
      <c r="AA25" s="468"/>
      <c r="AB25" s="469"/>
      <c r="AC25" s="469"/>
      <c r="AD25" s="470"/>
      <c r="AE25" s="449"/>
      <c r="AF25" s="450"/>
      <c r="AG25" s="451"/>
      <c r="AH25" s="28"/>
    </row>
    <row r="26" spans="2:34" ht="6.75" customHeight="1" x14ac:dyDescent="0.15">
      <c r="B26" s="27"/>
      <c r="C26" s="420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956 038 586 - FAX: 0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2"/>
      <c r="Q26" s="5"/>
      <c r="R26" s="464"/>
      <c r="S26" s="465"/>
      <c r="T26" s="465"/>
      <c r="U26" s="465"/>
      <c r="V26" s="416"/>
      <c r="W26" s="416"/>
      <c r="X26" s="416"/>
      <c r="Y26" s="416"/>
      <c r="Z26" s="417"/>
      <c r="AA26" s="449"/>
      <c r="AB26" s="450"/>
      <c r="AC26" s="450"/>
      <c r="AD26" s="451"/>
      <c r="AE26" s="449"/>
      <c r="AF26" s="450"/>
      <c r="AG26" s="451"/>
      <c r="AH26" s="28"/>
    </row>
    <row r="27" spans="2:34" ht="6.75" customHeight="1" x14ac:dyDescent="0.15">
      <c r="B27" s="27"/>
      <c r="C27" s="420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2"/>
      <c r="Q27" s="5"/>
      <c r="R27" s="466"/>
      <c r="S27" s="467"/>
      <c r="T27" s="467"/>
      <c r="U27" s="467"/>
      <c r="V27" s="418"/>
      <c r="W27" s="418"/>
      <c r="X27" s="418"/>
      <c r="Y27" s="418"/>
      <c r="Z27" s="419"/>
      <c r="AA27" s="449"/>
      <c r="AB27" s="450"/>
      <c r="AC27" s="450"/>
      <c r="AD27" s="451"/>
      <c r="AE27" s="449"/>
      <c r="AF27" s="450"/>
      <c r="AG27" s="451"/>
      <c r="AH27" s="28"/>
    </row>
    <row r="28" spans="2:34" ht="6.75" customHeight="1" x14ac:dyDescent="0.15">
      <c r="B28" s="27"/>
      <c r="C28" s="471" t="str">
        <f>IF(Blanco=TRUE,"","e_mail: " &amp; ' Derechos de Inscripción '!H25)</f>
        <v>e_mail: administracion@faa.net</v>
      </c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3"/>
      <c r="Q28" s="5"/>
      <c r="R28" s="477" t="s">
        <v>175</v>
      </c>
      <c r="S28" s="478"/>
      <c r="T28" s="478"/>
      <c r="U28" s="478"/>
      <c r="V28" s="455"/>
      <c r="W28" s="456"/>
      <c r="X28" s="456"/>
      <c r="Y28" s="456"/>
      <c r="Z28" s="457"/>
      <c r="AA28" s="449"/>
      <c r="AB28" s="450"/>
      <c r="AC28" s="450"/>
      <c r="AD28" s="451"/>
      <c r="AE28" s="449"/>
      <c r="AF28" s="450"/>
      <c r="AG28" s="451"/>
      <c r="AH28" s="28"/>
    </row>
    <row r="29" spans="2:34" ht="6" customHeight="1" x14ac:dyDescent="0.15">
      <c r="B29" s="27"/>
      <c r="C29" s="471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3"/>
      <c r="Q29" s="5"/>
      <c r="R29" s="479"/>
      <c r="S29" s="480"/>
      <c r="T29" s="480"/>
      <c r="U29" s="480"/>
      <c r="V29" s="458"/>
      <c r="W29" s="458"/>
      <c r="X29" s="458"/>
      <c r="Y29" s="458"/>
      <c r="Z29" s="459"/>
      <c r="AA29" s="449"/>
      <c r="AB29" s="450"/>
      <c r="AC29" s="450"/>
      <c r="AD29" s="451"/>
      <c r="AE29" s="449"/>
      <c r="AF29" s="450"/>
      <c r="AG29" s="451"/>
      <c r="AH29" s="28"/>
    </row>
    <row r="30" spans="2:34" ht="6" customHeight="1" x14ac:dyDescent="0.15">
      <c r="B30" s="27"/>
      <c r="C30" s="474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6"/>
      <c r="Q30" s="5"/>
      <c r="R30" s="481"/>
      <c r="S30" s="482"/>
      <c r="T30" s="482"/>
      <c r="U30" s="482"/>
      <c r="V30" s="460"/>
      <c r="W30" s="460"/>
      <c r="X30" s="460"/>
      <c r="Y30" s="460"/>
      <c r="Z30" s="461"/>
      <c r="AA30" s="452"/>
      <c r="AB30" s="453"/>
      <c r="AC30" s="453"/>
      <c r="AD30" s="454"/>
      <c r="AE30" s="452"/>
      <c r="AF30" s="453"/>
      <c r="AG30" s="454"/>
      <c r="AH30" s="28"/>
    </row>
    <row r="31" spans="2:34" ht="3.75" customHeight="1" x14ac:dyDescent="0.15"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8"/>
    </row>
    <row r="32" spans="2:34" ht="20" customHeight="1" x14ac:dyDescent="0.15">
      <c r="B32" s="27"/>
      <c r="C32" s="286" t="s">
        <v>0</v>
      </c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8"/>
      <c r="AH32" s="28"/>
    </row>
    <row r="33" spans="2:34" ht="3.75" customHeight="1" x14ac:dyDescent="0.15">
      <c r="B33" s="27"/>
      <c r="C33" s="12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8"/>
    </row>
    <row r="34" spans="2:34" ht="3.75" customHeight="1" x14ac:dyDescent="0.15">
      <c r="B34" s="2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8"/>
    </row>
    <row r="35" spans="2:34" ht="12" customHeight="1" x14ac:dyDescent="0.15">
      <c r="B35" s="27"/>
      <c r="C35" s="351" t="s">
        <v>184</v>
      </c>
      <c r="D35" s="16" t="s">
        <v>55</v>
      </c>
      <c r="E35" s="7"/>
      <c r="F35" s="7"/>
      <c r="G35" s="7"/>
      <c r="H35" s="7"/>
      <c r="I35" s="7"/>
      <c r="J35" s="7"/>
      <c r="K35" s="7"/>
      <c r="L35" s="63" t="s">
        <v>56</v>
      </c>
      <c r="M35" s="7"/>
      <c r="N35" s="7"/>
      <c r="O35" s="7"/>
      <c r="P35" s="7"/>
      <c r="Q35" s="17"/>
      <c r="R35" s="7"/>
      <c r="S35" s="7"/>
      <c r="T35" s="7"/>
      <c r="U35" s="8"/>
      <c r="V35" s="63" t="s">
        <v>1</v>
      </c>
      <c r="W35" s="7"/>
      <c r="X35" s="7"/>
      <c r="Y35" s="7"/>
      <c r="Z35" s="7"/>
      <c r="AA35" s="7"/>
      <c r="AB35" s="7"/>
      <c r="AC35" s="7"/>
      <c r="AD35" s="7"/>
      <c r="AE35" s="7"/>
      <c r="AF35" s="488" t="s">
        <v>362</v>
      </c>
      <c r="AG35" s="489"/>
      <c r="AH35" s="28"/>
    </row>
    <row r="36" spans="2:34" ht="18" customHeight="1" x14ac:dyDescent="0.15">
      <c r="B36" s="27"/>
      <c r="C36" s="352"/>
      <c r="D36" s="486"/>
      <c r="E36" s="487"/>
      <c r="F36" s="487"/>
      <c r="G36" s="487"/>
      <c r="H36" s="487"/>
      <c r="I36" s="487"/>
      <c r="J36" s="487"/>
      <c r="K36" s="487"/>
      <c r="L36" s="346"/>
      <c r="M36" s="347"/>
      <c r="N36" s="347"/>
      <c r="O36" s="347"/>
      <c r="P36" s="347"/>
      <c r="Q36" s="347"/>
      <c r="R36" s="347"/>
      <c r="S36" s="347"/>
      <c r="T36" s="347"/>
      <c r="U36" s="348"/>
      <c r="V36" s="346"/>
      <c r="W36" s="347"/>
      <c r="X36" s="347"/>
      <c r="Y36" s="347"/>
      <c r="Z36" s="347"/>
      <c r="AA36" s="347"/>
      <c r="AB36" s="347"/>
      <c r="AC36" s="347"/>
      <c r="AD36" s="347"/>
      <c r="AE36" s="347"/>
      <c r="AF36" s="346"/>
      <c r="AG36" s="371"/>
      <c r="AH36" s="28"/>
    </row>
    <row r="37" spans="2:34" ht="12" customHeight="1" x14ac:dyDescent="0.15">
      <c r="B37" s="27"/>
      <c r="C37" s="352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8"/>
    </row>
    <row r="38" spans="2:34" ht="18" customHeight="1" x14ac:dyDescent="0.15">
      <c r="B38" s="27"/>
      <c r="C38" s="352"/>
      <c r="D38" s="382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83"/>
      <c r="Q38" s="291"/>
      <c r="R38" s="291"/>
      <c r="S38" s="291"/>
      <c r="T38" s="291"/>
      <c r="U38" s="292"/>
      <c r="V38" s="354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6"/>
      <c r="AH38" s="28"/>
    </row>
    <row r="39" spans="2:34" ht="15" customHeight="1" x14ac:dyDescent="0.15">
      <c r="B39" s="27"/>
      <c r="C39" s="352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185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483" t="s">
        <v>319</v>
      </c>
      <c r="AE39" s="484"/>
      <c r="AF39" s="484"/>
      <c r="AG39" s="485"/>
      <c r="AH39" s="28"/>
    </row>
    <row r="40" spans="2:34" ht="18" customHeight="1" x14ac:dyDescent="0.15">
      <c r="B40" s="27"/>
      <c r="C40" s="352"/>
      <c r="D40" s="382"/>
      <c r="E40" s="355"/>
      <c r="F40" s="355"/>
      <c r="G40" s="355"/>
      <c r="H40" s="355"/>
      <c r="I40" s="383"/>
      <c r="J40" s="354"/>
      <c r="K40" s="355"/>
      <c r="L40" s="355"/>
      <c r="M40" s="355"/>
      <c r="N40" s="355"/>
      <c r="O40" s="355"/>
      <c r="P40" s="383"/>
      <c r="Q40" s="354"/>
      <c r="R40" s="355"/>
      <c r="S40" s="355"/>
      <c r="T40" s="355"/>
      <c r="U40" s="355"/>
      <c r="V40" s="355"/>
      <c r="W40" s="355"/>
      <c r="X40" s="355"/>
      <c r="Y40" s="354"/>
      <c r="Z40" s="355"/>
      <c r="AA40" s="355"/>
      <c r="AB40" s="355"/>
      <c r="AC40" s="355"/>
      <c r="AD40" s="543"/>
      <c r="AE40" s="543"/>
      <c r="AF40" s="543"/>
      <c r="AG40" s="208" t="str">
        <f>IF($AD$40&gt;=$AH$107,"JR","")</f>
        <v/>
      </c>
      <c r="AH40" s="28"/>
    </row>
    <row r="41" spans="2:34" ht="15" customHeight="1" x14ac:dyDescent="0.15">
      <c r="B41" s="27"/>
      <c r="C41" s="352"/>
      <c r="D41" s="9" t="s">
        <v>8</v>
      </c>
      <c r="E41" s="5"/>
      <c r="F41" s="5"/>
      <c r="G41" s="5"/>
      <c r="H41" s="10"/>
      <c r="I41" s="22" t="s">
        <v>8</v>
      </c>
      <c r="J41" s="5"/>
      <c r="K41" s="5"/>
      <c r="L41" s="5"/>
      <c r="M41" s="10"/>
      <c r="N41" s="22" t="s">
        <v>9</v>
      </c>
      <c r="O41" s="5"/>
      <c r="P41" s="5"/>
      <c r="Q41" s="5"/>
      <c r="R41" s="5"/>
      <c r="S41" s="5"/>
      <c r="T41" s="5"/>
      <c r="U41" s="10"/>
      <c r="V41" s="19" t="s">
        <v>10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8"/>
    </row>
    <row r="42" spans="2:34" ht="18" customHeight="1" x14ac:dyDescent="0.15">
      <c r="B42" s="27"/>
      <c r="C42" s="353"/>
      <c r="D42" s="490"/>
      <c r="E42" s="340"/>
      <c r="F42" s="340"/>
      <c r="G42" s="340"/>
      <c r="H42" s="341"/>
      <c r="I42" s="339"/>
      <c r="J42" s="340"/>
      <c r="K42" s="340"/>
      <c r="L42" s="340"/>
      <c r="M42" s="341"/>
      <c r="N42" s="339"/>
      <c r="O42" s="340"/>
      <c r="P42" s="340"/>
      <c r="Q42" s="340"/>
      <c r="R42" s="340"/>
      <c r="S42" s="340"/>
      <c r="T42" s="340"/>
      <c r="U42" s="341"/>
      <c r="V42" s="283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H42" s="28"/>
    </row>
    <row r="43" spans="2:34" ht="3.75" customHeight="1" x14ac:dyDescent="0.15"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8"/>
    </row>
    <row r="44" spans="2:34" ht="12" customHeight="1" x14ac:dyDescent="0.15">
      <c r="B44" s="27"/>
      <c r="C44" s="351" t="s">
        <v>224</v>
      </c>
      <c r="D44" s="16" t="s">
        <v>55</v>
      </c>
      <c r="E44" s="7"/>
      <c r="F44" s="7"/>
      <c r="G44" s="7"/>
      <c r="H44" s="7"/>
      <c r="I44" s="7"/>
      <c r="J44" s="7"/>
      <c r="K44" s="7"/>
      <c r="L44" s="63" t="s">
        <v>56</v>
      </c>
      <c r="M44" s="7"/>
      <c r="N44" s="7"/>
      <c r="O44" s="7"/>
      <c r="P44" s="7"/>
      <c r="Q44" s="17"/>
      <c r="R44" s="7"/>
      <c r="S44" s="7"/>
      <c r="T44" s="7"/>
      <c r="U44" s="8"/>
      <c r="V44" s="63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88" t="s">
        <v>362</v>
      </c>
      <c r="AG44" s="489"/>
      <c r="AH44" s="28"/>
    </row>
    <row r="45" spans="2:34" ht="18" customHeight="1" x14ac:dyDescent="0.15">
      <c r="B45" s="27"/>
      <c r="C45" s="352"/>
      <c r="D45" s="354"/>
      <c r="E45" s="355"/>
      <c r="F45" s="355"/>
      <c r="G45" s="355"/>
      <c r="H45" s="355"/>
      <c r="I45" s="355"/>
      <c r="J45" s="355"/>
      <c r="K45" s="355"/>
      <c r="L45" s="346"/>
      <c r="M45" s="347"/>
      <c r="N45" s="347"/>
      <c r="O45" s="347"/>
      <c r="P45" s="347"/>
      <c r="Q45" s="347"/>
      <c r="R45" s="347"/>
      <c r="S45" s="347"/>
      <c r="T45" s="347"/>
      <c r="U45" s="348"/>
      <c r="V45" s="346"/>
      <c r="W45" s="347"/>
      <c r="X45" s="347"/>
      <c r="Y45" s="347"/>
      <c r="Z45" s="347"/>
      <c r="AA45" s="347"/>
      <c r="AB45" s="347"/>
      <c r="AC45" s="347"/>
      <c r="AD45" s="347"/>
      <c r="AE45" s="347"/>
      <c r="AF45" s="346"/>
      <c r="AG45" s="371"/>
      <c r="AH45" s="28"/>
    </row>
    <row r="46" spans="2:34" ht="12" customHeight="1" x14ac:dyDescent="0.15">
      <c r="B46" s="27"/>
      <c r="C46" s="352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8"/>
    </row>
    <row r="47" spans="2:34" ht="18" customHeight="1" x14ac:dyDescent="0.15">
      <c r="B47" s="27"/>
      <c r="C47" s="352"/>
      <c r="D47" s="382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83"/>
      <c r="Q47" s="291"/>
      <c r="R47" s="291"/>
      <c r="S47" s="291"/>
      <c r="T47" s="291"/>
      <c r="U47" s="292"/>
      <c r="V47" s="354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6"/>
      <c r="AH47" s="28"/>
    </row>
    <row r="48" spans="2:34" ht="15" customHeight="1" x14ac:dyDescent="0.15">
      <c r="B48" s="27"/>
      <c r="C48" s="352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185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83" t="s">
        <v>319</v>
      </c>
      <c r="AE48" s="484"/>
      <c r="AF48" s="484"/>
      <c r="AG48" s="485"/>
      <c r="AH48" s="28"/>
    </row>
    <row r="49" spans="2:34" ht="18" customHeight="1" x14ac:dyDescent="0.15">
      <c r="B49" s="27"/>
      <c r="C49" s="352"/>
      <c r="D49" s="382"/>
      <c r="E49" s="355"/>
      <c r="F49" s="355"/>
      <c r="G49" s="355"/>
      <c r="H49" s="355"/>
      <c r="I49" s="383"/>
      <c r="J49" s="354"/>
      <c r="K49" s="355"/>
      <c r="L49" s="355"/>
      <c r="M49" s="355"/>
      <c r="N49" s="355"/>
      <c r="O49" s="355"/>
      <c r="P49" s="383"/>
      <c r="Q49" s="354"/>
      <c r="R49" s="355"/>
      <c r="S49" s="355"/>
      <c r="T49" s="355"/>
      <c r="U49" s="355"/>
      <c r="V49" s="355"/>
      <c r="W49" s="355"/>
      <c r="X49" s="355"/>
      <c r="Y49" s="354"/>
      <c r="Z49" s="355"/>
      <c r="AA49" s="355"/>
      <c r="AB49" s="355"/>
      <c r="AC49" s="355"/>
      <c r="AD49" s="543"/>
      <c r="AE49" s="543"/>
      <c r="AF49" s="543"/>
      <c r="AG49" s="208" t="str">
        <f>IF(AD49&gt;=$AH$107,"JR","")</f>
        <v/>
      </c>
      <c r="AH49" s="28"/>
    </row>
    <row r="50" spans="2:34" ht="15" customHeight="1" x14ac:dyDescent="0.15">
      <c r="B50" s="27"/>
      <c r="C50" s="352"/>
      <c r="D50" s="9" t="s">
        <v>8</v>
      </c>
      <c r="E50" s="5"/>
      <c r="F50" s="5"/>
      <c r="G50" s="5"/>
      <c r="H50" s="10"/>
      <c r="I50" s="22" t="s">
        <v>8</v>
      </c>
      <c r="J50" s="5"/>
      <c r="K50" s="5"/>
      <c r="L50" s="5"/>
      <c r="M50" s="10"/>
      <c r="N50" s="22" t="s">
        <v>9</v>
      </c>
      <c r="O50" s="5"/>
      <c r="P50" s="5"/>
      <c r="Q50" s="5"/>
      <c r="R50" s="5"/>
      <c r="S50" s="5"/>
      <c r="T50" s="5"/>
      <c r="U50" s="10"/>
      <c r="V50" s="19" t="s">
        <v>10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8"/>
    </row>
    <row r="51" spans="2:34" ht="18" customHeight="1" x14ac:dyDescent="0.15">
      <c r="B51" s="27"/>
      <c r="C51" s="353"/>
      <c r="D51" s="357"/>
      <c r="E51" s="515"/>
      <c r="F51" s="515"/>
      <c r="G51" s="515"/>
      <c r="H51" s="515"/>
      <c r="I51" s="357"/>
      <c r="J51" s="340"/>
      <c r="K51" s="340"/>
      <c r="L51" s="340"/>
      <c r="M51" s="341"/>
      <c r="N51" s="339"/>
      <c r="O51" s="340"/>
      <c r="P51" s="340"/>
      <c r="Q51" s="340"/>
      <c r="R51" s="340"/>
      <c r="S51" s="340"/>
      <c r="T51" s="340"/>
      <c r="U51" s="341"/>
      <c r="V51" s="283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5"/>
      <c r="AH51" s="28"/>
    </row>
    <row r="52" spans="2:34" ht="3.75" customHeight="1" x14ac:dyDescent="0.15">
      <c r="B52" s="27"/>
      <c r="C52" s="5"/>
      <c r="D52" s="121"/>
      <c r="E52" s="121"/>
      <c r="F52" s="121"/>
      <c r="G52" s="121"/>
      <c r="H52" s="121"/>
      <c r="I52" s="12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8"/>
    </row>
    <row r="53" spans="2:34" ht="20" customHeight="1" x14ac:dyDescent="0.15">
      <c r="B53" s="27"/>
      <c r="C53" s="286" t="s">
        <v>11</v>
      </c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8"/>
      <c r="AH53" s="28"/>
    </row>
    <row r="54" spans="2:34" ht="3" customHeight="1" x14ac:dyDescent="0.15">
      <c r="B54" s="2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8"/>
    </row>
    <row r="55" spans="2:34" ht="11.25" customHeight="1" x14ac:dyDescent="0.15">
      <c r="B55" s="27"/>
      <c r="C55" s="16" t="s">
        <v>105</v>
      </c>
      <c r="D55" s="7"/>
      <c r="E55" s="7"/>
      <c r="F55" s="7"/>
      <c r="G55" s="7"/>
      <c r="H55" s="83"/>
      <c r="I55" s="90"/>
      <c r="J55" s="94" t="s">
        <v>206</v>
      </c>
      <c r="K55" s="93"/>
      <c r="L55" s="93"/>
      <c r="M55" s="93"/>
      <c r="N55" s="93"/>
      <c r="O55" s="93"/>
      <c r="P55" s="93"/>
      <c r="Q55" s="302" t="s">
        <v>282</v>
      </c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4"/>
      <c r="AH55" s="28"/>
    </row>
    <row r="56" spans="2:34" ht="18.75" customHeight="1" x14ac:dyDescent="0.15">
      <c r="B56" s="175"/>
      <c r="C56" s="289"/>
      <c r="D56" s="289"/>
      <c r="E56" s="289"/>
      <c r="F56" s="289"/>
      <c r="G56" s="289"/>
      <c r="H56" s="289"/>
      <c r="I56" s="290"/>
      <c r="J56" s="346"/>
      <c r="K56" s="347"/>
      <c r="L56" s="347"/>
      <c r="M56" s="347"/>
      <c r="N56" s="347"/>
      <c r="O56" s="347"/>
      <c r="P56" s="371"/>
      <c r="Q56" s="384" t="e">
        <f>VLOOKUP(' Datos de Organizadores '!P31,' Datos de Organizadores '!Q28:T39,2)</f>
        <v>#N/A</v>
      </c>
      <c r="R56" s="385"/>
      <c r="S56" s="385"/>
      <c r="T56" s="385"/>
      <c r="U56" s="385"/>
      <c r="V56" s="385"/>
      <c r="W56" s="385"/>
      <c r="X56" s="385"/>
      <c r="Y56" s="385"/>
      <c r="Z56" s="385"/>
      <c r="AA56" s="293" t="str">
        <f>IF(Q60="H",VLOOKUP(' Datos de Organizadores '!W29,' Datos de Organizadores '!V30:X40,3)," ")</f>
        <v xml:space="preserve"> </v>
      </c>
      <c r="AB56" s="293"/>
      <c r="AC56" s="293"/>
      <c r="AD56" s="293"/>
      <c r="AE56" s="293"/>
      <c r="AF56" s="293"/>
      <c r="AG56" s="293"/>
      <c r="AH56" s="28"/>
    </row>
    <row r="57" spans="2:34" ht="18.75" customHeight="1" x14ac:dyDescent="0.15">
      <c r="B57" s="27"/>
      <c r="C57" s="9" t="s">
        <v>106</v>
      </c>
      <c r="D57" s="5"/>
      <c r="E57" s="5"/>
      <c r="F57" s="5"/>
      <c r="G57" s="5"/>
      <c r="H57" s="86"/>
      <c r="I57" s="91"/>
      <c r="J57" s="483" t="s">
        <v>268</v>
      </c>
      <c r="K57" s="484"/>
      <c r="L57" s="484"/>
      <c r="M57" s="507"/>
      <c r="N57" s="342" t="s">
        <v>207</v>
      </c>
      <c r="O57" s="342"/>
      <c r="P57" s="343"/>
      <c r="Q57" s="376" t="str">
        <f>IF(Campeonato=2,"",IF(Grupo=1,"",AGRUP))</f>
        <v/>
      </c>
      <c r="R57" s="377"/>
      <c r="S57" s="377"/>
      <c r="T57" s="377"/>
      <c r="U57" s="377"/>
      <c r="V57" s="377"/>
      <c r="W57" s="377"/>
      <c r="X57" s="377"/>
      <c r="Y57" s="377"/>
      <c r="Z57" s="378"/>
      <c r="AA57" s="372" t="s">
        <v>361</v>
      </c>
      <c r="AB57" s="372"/>
      <c r="AC57" s="372"/>
      <c r="AD57" s="372"/>
      <c r="AE57" s="372"/>
      <c r="AF57" s="372"/>
      <c r="AG57" s="372"/>
      <c r="AH57" s="28"/>
    </row>
    <row r="58" spans="2:34" ht="18" customHeight="1" x14ac:dyDescent="0.15">
      <c r="B58" s="175"/>
      <c r="C58" s="289"/>
      <c r="D58" s="289"/>
      <c r="E58" s="289"/>
      <c r="F58" s="289"/>
      <c r="G58" s="289"/>
      <c r="H58" s="289"/>
      <c r="I58" s="290"/>
      <c r="J58" s="346"/>
      <c r="K58" s="347"/>
      <c r="L58" s="347"/>
      <c r="M58" s="348"/>
      <c r="N58" s="347"/>
      <c r="O58" s="347"/>
      <c r="P58" s="371"/>
      <c r="Q58" s="379"/>
      <c r="R58" s="380"/>
      <c r="S58" s="380"/>
      <c r="T58" s="380"/>
      <c r="U58" s="380"/>
      <c r="V58" s="380"/>
      <c r="W58" s="380"/>
      <c r="X58" s="380"/>
      <c r="Y58" s="380"/>
      <c r="Z58" s="381"/>
      <c r="AA58" s="373"/>
      <c r="AB58" s="347"/>
      <c r="AC58" s="347"/>
      <c r="AD58" s="347"/>
      <c r="AE58" s="347"/>
      <c r="AF58" s="347"/>
      <c r="AG58" s="371"/>
      <c r="AH58" s="28"/>
    </row>
    <row r="59" spans="2:34" ht="15" customHeight="1" x14ac:dyDescent="0.15">
      <c r="B59" s="27"/>
      <c r="C59" s="326" t="s">
        <v>108</v>
      </c>
      <c r="D59" s="327"/>
      <c r="E59" s="326" t="s">
        <v>107</v>
      </c>
      <c r="F59" s="328"/>
      <c r="G59" s="328"/>
      <c r="H59" s="328"/>
      <c r="I59" s="327"/>
      <c r="J59" s="11" t="s">
        <v>216</v>
      </c>
      <c r="K59" s="5"/>
      <c r="L59" s="5"/>
      <c r="M59" s="5"/>
      <c r="N59" s="508"/>
      <c r="O59" s="508"/>
      <c r="P59" s="509"/>
      <c r="Q59" s="305" t="s">
        <v>12</v>
      </c>
      <c r="R59" s="305"/>
      <c r="S59" s="305"/>
      <c r="T59" s="305"/>
      <c r="U59" s="305"/>
      <c r="V59" s="306"/>
      <c r="W59" s="374" t="s">
        <v>222</v>
      </c>
      <c r="X59" s="305"/>
      <c r="Y59" s="305"/>
      <c r="Z59" s="375"/>
      <c r="AA59" s="506" t="s">
        <v>298</v>
      </c>
      <c r="AB59" s="305"/>
      <c r="AC59" s="305"/>
      <c r="AD59" s="305"/>
      <c r="AE59" s="305"/>
      <c r="AF59" s="305"/>
      <c r="AG59" s="375"/>
      <c r="AH59" s="28"/>
    </row>
    <row r="60" spans="2:34" ht="18" customHeight="1" x14ac:dyDescent="0.15">
      <c r="B60" s="175"/>
      <c r="C60" s="329"/>
      <c r="D60" s="330"/>
      <c r="E60" s="291"/>
      <c r="F60" s="291"/>
      <c r="G60" s="291"/>
      <c r="H60" s="291"/>
      <c r="I60" s="330"/>
      <c r="J60" s="210"/>
      <c r="K60" s="211"/>
      <c r="L60" s="211"/>
      <c r="M60" s="211"/>
      <c r="N60" s="211"/>
      <c r="O60" s="211"/>
      <c r="P60" s="212"/>
      <c r="Q60" s="596" t="str">
        <f>IF(Campeonato=2,"",IF(Grupo=1,"",' Datos de Organizadores '!Q31))</f>
        <v/>
      </c>
      <c r="R60" s="597"/>
      <c r="S60" s="597"/>
      <c r="T60" s="597"/>
      <c r="U60" s="597"/>
      <c r="V60" s="598"/>
      <c r="W60" s="358" t="str">
        <f>CLASE</f>
        <v/>
      </c>
      <c r="X60" s="359"/>
      <c r="Y60" s="359"/>
      <c r="Z60" s="360"/>
      <c r="AA60" s="137"/>
      <c r="AB60" s="133"/>
      <c r="AC60" s="18"/>
      <c r="AD60" s="18"/>
      <c r="AE60" s="18"/>
      <c r="AF60" s="18"/>
      <c r="AG60" s="140"/>
      <c r="AH60" s="28"/>
    </row>
    <row r="61" spans="2:34" ht="15" customHeight="1" x14ac:dyDescent="0.15">
      <c r="B61" s="175"/>
      <c r="C61" s="176" t="s">
        <v>215</v>
      </c>
      <c r="D61" s="21"/>
      <c r="E61" s="21"/>
      <c r="F61" s="21"/>
      <c r="G61" s="21"/>
      <c r="H61" s="97"/>
      <c r="I61" s="92"/>
      <c r="J61" s="13" t="s">
        <v>323</v>
      </c>
      <c r="K61" s="5"/>
      <c r="L61" s="5"/>
      <c r="M61" s="5"/>
      <c r="N61" s="5"/>
      <c r="O61" s="86"/>
      <c r="P61" s="170"/>
      <c r="Q61" s="599"/>
      <c r="R61" s="600"/>
      <c r="S61" s="600"/>
      <c r="T61" s="600"/>
      <c r="U61" s="600"/>
      <c r="V61" s="601"/>
      <c r="W61" s="361"/>
      <c r="X61" s="361"/>
      <c r="Y61" s="361"/>
      <c r="Z61" s="362"/>
      <c r="AA61" s="137"/>
      <c r="AB61" s="174"/>
      <c r="AC61" s="141"/>
      <c r="AD61" s="138"/>
      <c r="AE61" s="138"/>
      <c r="AF61" s="138"/>
      <c r="AG61" s="139"/>
      <c r="AH61" s="28"/>
    </row>
    <row r="62" spans="2:34" ht="18" customHeight="1" x14ac:dyDescent="0.15">
      <c r="B62" s="27"/>
      <c r="C62" s="368">
        <f>IF(Turbo=2,VALUE(CILINDRADA),ROUND(VALUE(CILINDRADA)*1.7,0))</f>
        <v>0</v>
      </c>
      <c r="D62" s="369"/>
      <c r="E62" s="369"/>
      <c r="F62" s="369"/>
      <c r="G62" s="369"/>
      <c r="H62" s="369"/>
      <c r="I62" s="370"/>
      <c r="J62" s="365"/>
      <c r="K62" s="366"/>
      <c r="L62" s="366"/>
      <c r="M62" s="366"/>
      <c r="N62" s="366"/>
      <c r="O62" s="366"/>
      <c r="P62" s="367"/>
      <c r="Q62" s="602"/>
      <c r="R62" s="603"/>
      <c r="S62" s="603"/>
      <c r="T62" s="603"/>
      <c r="U62" s="603"/>
      <c r="V62" s="604"/>
      <c r="W62" s="363"/>
      <c r="X62" s="363"/>
      <c r="Y62" s="363"/>
      <c r="Z62" s="364"/>
      <c r="AA62" s="134"/>
      <c r="AB62" s="135"/>
      <c r="AC62" s="135"/>
      <c r="AD62" s="135"/>
      <c r="AE62" s="135"/>
      <c r="AF62" s="135"/>
      <c r="AG62" s="136"/>
      <c r="AH62" s="28"/>
    </row>
    <row r="63" spans="2:34" ht="3.75" customHeight="1" x14ac:dyDescent="0.15">
      <c r="B63" s="2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8"/>
      <c r="AF63" s="108"/>
      <c r="AG63" s="108"/>
      <c r="AH63" s="28"/>
    </row>
    <row r="64" spans="2:34" ht="20" hidden="1" customHeight="1" x14ac:dyDescent="0.15">
      <c r="B64" s="27"/>
      <c r="C64" s="503" t="s">
        <v>205</v>
      </c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  <c r="AF64" s="504"/>
      <c r="AG64" s="505"/>
      <c r="AH64" s="28"/>
    </row>
    <row r="65" spans="2:34" ht="3.75" hidden="1" customHeight="1" x14ac:dyDescent="0.15">
      <c r="B65" s="2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8"/>
    </row>
    <row r="66" spans="2:34" ht="18" hidden="1" customHeight="1" x14ac:dyDescent="0.15">
      <c r="B66" s="27"/>
      <c r="C66" s="510" t="s">
        <v>203</v>
      </c>
      <c r="D66" s="511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2"/>
      <c r="AH66" s="28"/>
    </row>
    <row r="67" spans="2:34" ht="15.75" hidden="1" customHeight="1" x14ac:dyDescent="0.15">
      <c r="B67" s="27"/>
      <c r="C67" s="77" t="s">
        <v>178</v>
      </c>
      <c r="D67" s="18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2"/>
      <c r="Q67" s="491" t="s">
        <v>179</v>
      </c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3"/>
      <c r="AH67" s="28"/>
    </row>
    <row r="68" spans="2:34" ht="15.75" hidden="1" customHeight="1" x14ac:dyDescent="0.15">
      <c r="B68" s="27"/>
      <c r="C68" s="77" t="s">
        <v>180</v>
      </c>
      <c r="D68" s="18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2"/>
      <c r="Q68" s="494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6"/>
      <c r="AH68" s="28"/>
    </row>
    <row r="69" spans="2:34" ht="15.75" hidden="1" customHeight="1" x14ac:dyDescent="0.15">
      <c r="B69" s="27"/>
      <c r="C69" s="77" t="s">
        <v>181</v>
      </c>
      <c r="D69" s="18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2"/>
      <c r="Q69" s="5"/>
      <c r="R69" s="5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6"/>
      <c r="AH69" s="28"/>
    </row>
    <row r="70" spans="2:34" ht="15.75" hidden="1" customHeight="1" x14ac:dyDescent="0.15">
      <c r="B70" s="27"/>
      <c r="C70" s="77" t="s">
        <v>182</v>
      </c>
      <c r="D70" s="18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2"/>
      <c r="Q70" s="5"/>
      <c r="R70" s="5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6"/>
      <c r="AH70" s="28"/>
    </row>
    <row r="71" spans="2:34" ht="15.75" hidden="1" customHeight="1" x14ac:dyDescent="0.15">
      <c r="B71" s="27"/>
      <c r="C71" s="344" t="s">
        <v>183</v>
      </c>
      <c r="D71" s="345"/>
      <c r="E71" s="513"/>
      <c r="F71" s="513"/>
      <c r="G71" s="78" t="s">
        <v>5</v>
      </c>
      <c r="H71" s="79"/>
      <c r="I71" s="513"/>
      <c r="J71" s="513"/>
      <c r="K71" s="513"/>
      <c r="L71" s="513"/>
      <c r="M71" s="513"/>
      <c r="N71" s="513"/>
      <c r="O71" s="513"/>
      <c r="P71" s="514"/>
      <c r="Q71" s="79"/>
      <c r="R71" s="79"/>
      <c r="S71" s="80"/>
      <c r="T71" s="81"/>
      <c r="U71" s="81"/>
      <c r="V71" s="81"/>
      <c r="W71" s="80"/>
      <c r="X71" s="81"/>
      <c r="Y71" s="80"/>
      <c r="Z71" s="81"/>
      <c r="AA71" s="80"/>
      <c r="AB71" s="81"/>
      <c r="AC71" s="81"/>
      <c r="AD71" s="81"/>
      <c r="AE71" s="81"/>
      <c r="AF71" s="81"/>
      <c r="AG71" s="82"/>
      <c r="AH71" s="28"/>
    </row>
    <row r="72" spans="2:34" ht="6.75" customHeight="1" x14ac:dyDescent="0.15">
      <c r="B72" s="2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8"/>
    </row>
    <row r="73" spans="2:34" ht="20" customHeight="1" x14ac:dyDescent="0.15">
      <c r="B73" s="27"/>
      <c r="C73" s="286" t="s">
        <v>14</v>
      </c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8"/>
      <c r="AH73" s="28"/>
    </row>
    <row r="74" spans="2:34" ht="3" customHeight="1" x14ac:dyDescent="0.15">
      <c r="B74" s="2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8"/>
    </row>
    <row r="75" spans="2:34" ht="9" customHeight="1" x14ac:dyDescent="0.15">
      <c r="B75" s="27"/>
      <c r="C75" s="594" t="s">
        <v>267</v>
      </c>
      <c r="D75" s="590">
        <f>VLOOKUP(' Derechos de Inscripción '!C16,' Datos de Organizadores '!$A$3:$M$10,12)</f>
        <v>44900</v>
      </c>
      <c r="E75" s="590"/>
      <c r="F75" s="591"/>
      <c r="G75" s="559" t="s">
        <v>275</v>
      </c>
      <c r="H75" s="560"/>
      <c r="I75" s="560"/>
      <c r="J75" s="561"/>
      <c r="K75" s="611" t="s">
        <v>424</v>
      </c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612"/>
      <c r="AA75" s="612"/>
      <c r="AB75" s="613"/>
      <c r="AC75" s="320" t="s">
        <v>190</v>
      </c>
      <c r="AD75" s="321"/>
      <c r="AE75" s="321"/>
      <c r="AF75" s="321"/>
      <c r="AG75" s="322"/>
      <c r="AH75" s="28"/>
    </row>
    <row r="76" spans="2:34" ht="6" customHeight="1" x14ac:dyDescent="0.15">
      <c r="B76" s="27"/>
      <c r="C76" s="595"/>
      <c r="D76" s="592"/>
      <c r="E76" s="592"/>
      <c r="F76" s="593"/>
      <c r="G76" s="562"/>
      <c r="H76" s="563"/>
      <c r="I76" s="563"/>
      <c r="J76" s="564"/>
      <c r="K76" s="614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615"/>
      <c r="Z76" s="615"/>
      <c r="AA76" s="615"/>
      <c r="AB76" s="616"/>
      <c r="AC76" s="323"/>
      <c r="AD76" s="324"/>
      <c r="AE76" s="324"/>
      <c r="AF76" s="324"/>
      <c r="AG76" s="325"/>
      <c r="AH76" s="28"/>
    </row>
    <row r="77" spans="2:34" ht="3" hidden="1" customHeight="1" x14ac:dyDescent="0.15">
      <c r="B77" s="27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2"/>
      <c r="AD77" s="5"/>
      <c r="AE77" s="5"/>
      <c r="AF77" s="5"/>
      <c r="AG77" s="6"/>
      <c r="AH77" s="28"/>
    </row>
    <row r="78" spans="2:34" ht="3" customHeight="1" x14ac:dyDescent="0.15">
      <c r="B78" s="27"/>
      <c r="C78" s="581">
        <f>IF(' Datos de Organizadores '!P4=2,' Derechos de Inscripción '!J29*2,' Derechos de Inscripción '!J29)</f>
        <v>125</v>
      </c>
      <c r="D78" s="582"/>
      <c r="E78" s="582"/>
      <c r="F78" s="583"/>
      <c r="G78" s="311">
        <f>50+C78</f>
        <v>175</v>
      </c>
      <c r="H78" s="312"/>
      <c r="I78" s="312"/>
      <c r="J78" s="313"/>
      <c r="K78" s="607" t="s">
        <v>425</v>
      </c>
      <c r="L78" s="307"/>
      <c r="M78" s="308"/>
      <c r="N78" s="497">
        <v>3856</v>
      </c>
      <c r="O78" s="497"/>
      <c r="P78" s="497"/>
      <c r="Q78" s="497"/>
      <c r="R78" s="243"/>
      <c r="S78" s="243"/>
      <c r="T78" s="243"/>
      <c r="U78" s="243"/>
      <c r="V78" s="307" t="s">
        <v>423</v>
      </c>
      <c r="W78" s="307"/>
      <c r="X78" s="307"/>
      <c r="Y78" s="307"/>
      <c r="Z78" s="307"/>
      <c r="AA78" s="307"/>
      <c r="AB78" s="308"/>
      <c r="AC78" s="550"/>
      <c r="AD78" s="551"/>
      <c r="AE78" s="551"/>
      <c r="AF78" s="551"/>
      <c r="AG78" s="552"/>
      <c r="AH78" s="28"/>
    </row>
    <row r="79" spans="2:34" ht="9" customHeight="1" x14ac:dyDescent="0.15">
      <c r="B79" s="27"/>
      <c r="C79" s="584"/>
      <c r="D79" s="585"/>
      <c r="E79" s="585"/>
      <c r="F79" s="586"/>
      <c r="G79" s="314"/>
      <c r="H79" s="315"/>
      <c r="I79" s="315"/>
      <c r="J79" s="316"/>
      <c r="K79" s="607"/>
      <c r="L79" s="307"/>
      <c r="M79" s="308"/>
      <c r="N79" s="497"/>
      <c r="O79" s="497"/>
      <c r="P79" s="497"/>
      <c r="Q79" s="497"/>
      <c r="R79" s="499">
        <v>49</v>
      </c>
      <c r="S79" s="497"/>
      <c r="T79" s="497"/>
      <c r="U79" s="500"/>
      <c r="V79" s="307"/>
      <c r="W79" s="307"/>
      <c r="X79" s="307"/>
      <c r="Y79" s="307"/>
      <c r="Z79" s="307"/>
      <c r="AA79" s="307"/>
      <c r="AB79" s="308"/>
      <c r="AC79" s="553"/>
      <c r="AD79" s="554"/>
      <c r="AE79" s="554"/>
      <c r="AF79" s="554"/>
      <c r="AG79" s="555"/>
      <c r="AH79" s="28"/>
    </row>
    <row r="80" spans="2:34" ht="9" customHeight="1" x14ac:dyDescent="0.15">
      <c r="B80" s="27"/>
      <c r="C80" s="584"/>
      <c r="D80" s="585"/>
      <c r="E80" s="585"/>
      <c r="F80" s="586"/>
      <c r="G80" s="314"/>
      <c r="H80" s="315"/>
      <c r="I80" s="315"/>
      <c r="J80" s="316"/>
      <c r="K80" s="607"/>
      <c r="L80" s="307"/>
      <c r="M80" s="308"/>
      <c r="N80" s="497"/>
      <c r="O80" s="497"/>
      <c r="P80" s="497"/>
      <c r="Q80" s="497"/>
      <c r="R80" s="499"/>
      <c r="S80" s="497"/>
      <c r="T80" s="497"/>
      <c r="U80" s="500"/>
      <c r="V80" s="307"/>
      <c r="W80" s="307"/>
      <c r="X80" s="307"/>
      <c r="Y80" s="307"/>
      <c r="Z80" s="307"/>
      <c r="AA80" s="307"/>
      <c r="AB80" s="308"/>
      <c r="AC80" s="553"/>
      <c r="AD80" s="554"/>
      <c r="AE80" s="554"/>
      <c r="AF80" s="554"/>
      <c r="AG80" s="555"/>
      <c r="AH80" s="28"/>
    </row>
    <row r="81" spans="2:35" ht="18" customHeight="1" x14ac:dyDescent="0.15">
      <c r="B81" s="27"/>
      <c r="C81" s="584"/>
      <c r="D81" s="585"/>
      <c r="E81" s="585"/>
      <c r="F81" s="586"/>
      <c r="G81" s="314"/>
      <c r="H81" s="315"/>
      <c r="I81" s="315"/>
      <c r="J81" s="316"/>
      <c r="K81" s="607"/>
      <c r="L81" s="307"/>
      <c r="M81" s="308"/>
      <c r="N81" s="497"/>
      <c r="O81" s="497"/>
      <c r="P81" s="497"/>
      <c r="Q81" s="497"/>
      <c r="R81" s="499"/>
      <c r="S81" s="497"/>
      <c r="T81" s="497"/>
      <c r="U81" s="500"/>
      <c r="V81" s="307"/>
      <c r="W81" s="307"/>
      <c r="X81" s="307"/>
      <c r="Y81" s="307"/>
      <c r="Z81" s="307"/>
      <c r="AA81" s="307"/>
      <c r="AB81" s="308"/>
      <c r="AC81" s="553"/>
      <c r="AD81" s="554"/>
      <c r="AE81" s="554"/>
      <c r="AF81" s="554"/>
      <c r="AG81" s="555"/>
      <c r="AH81" s="28"/>
    </row>
    <row r="82" spans="2:35" ht="3" customHeight="1" x14ac:dyDescent="0.15">
      <c r="B82" s="27"/>
      <c r="C82" s="587"/>
      <c r="D82" s="588"/>
      <c r="E82" s="588"/>
      <c r="F82" s="589"/>
      <c r="G82" s="317"/>
      <c r="H82" s="318"/>
      <c r="I82" s="318"/>
      <c r="J82" s="319"/>
      <c r="K82" s="608"/>
      <c r="L82" s="309"/>
      <c r="M82" s="310"/>
      <c r="N82" s="498"/>
      <c r="O82" s="498"/>
      <c r="P82" s="498"/>
      <c r="Q82" s="498"/>
      <c r="R82" s="501"/>
      <c r="S82" s="498"/>
      <c r="T82" s="498"/>
      <c r="U82" s="502"/>
      <c r="V82" s="309"/>
      <c r="W82" s="309"/>
      <c r="X82" s="309"/>
      <c r="Y82" s="309"/>
      <c r="Z82" s="309"/>
      <c r="AA82" s="309"/>
      <c r="AB82" s="310"/>
      <c r="AC82" s="556"/>
      <c r="AD82" s="557"/>
      <c r="AE82" s="557"/>
      <c r="AF82" s="557"/>
      <c r="AG82" s="558"/>
      <c r="AH82" s="28"/>
    </row>
    <row r="83" spans="2:35" ht="5.25" customHeight="1" thickBot="1" x14ac:dyDescent="0.2">
      <c r="B83" s="27"/>
      <c r="C83" s="7"/>
      <c r="D83" s="7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16"/>
      <c r="R83" s="516"/>
      <c r="S83" s="516"/>
      <c r="T83" s="516"/>
      <c r="U83" s="516"/>
      <c r="V83" s="516"/>
      <c r="W83" s="516"/>
      <c r="X83" s="516"/>
      <c r="Y83" s="516"/>
      <c r="Z83" s="516"/>
      <c r="AA83" s="516"/>
      <c r="AB83" s="516"/>
      <c r="AC83" s="516"/>
      <c r="AD83" s="516"/>
      <c r="AE83" s="516"/>
      <c r="AF83" s="516"/>
      <c r="AG83" s="516"/>
      <c r="AH83" s="28"/>
    </row>
    <row r="84" spans="2:35" ht="14" customHeight="1" x14ac:dyDescent="0.15">
      <c r="B84" s="123"/>
      <c r="C84" s="336" t="s">
        <v>305</v>
      </c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565" t="s">
        <v>318</v>
      </c>
      <c r="S84" s="566"/>
      <c r="T84" s="566"/>
      <c r="U84" s="566"/>
      <c r="V84" s="566"/>
      <c r="W84" s="566"/>
      <c r="X84" s="566"/>
      <c r="Y84" s="567"/>
      <c r="Z84" s="546"/>
      <c r="AA84" s="546"/>
      <c r="AB84" s="546"/>
      <c r="AC84" s="546"/>
      <c r="AD84" s="546"/>
      <c r="AE84" s="546"/>
      <c r="AF84" s="546"/>
      <c r="AG84" s="547"/>
      <c r="AH84" s="124"/>
      <c r="AI84" s="143"/>
    </row>
    <row r="85" spans="2:35" ht="14" customHeight="1" x14ac:dyDescent="0.15">
      <c r="B85" s="2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568"/>
      <c r="S85" s="569"/>
      <c r="T85" s="569"/>
      <c r="U85" s="569"/>
      <c r="V85" s="569"/>
      <c r="W85" s="569"/>
      <c r="X85" s="569"/>
      <c r="Y85" s="570"/>
      <c r="Z85" s="548"/>
      <c r="AA85" s="548"/>
      <c r="AB85" s="548"/>
      <c r="AC85" s="548"/>
      <c r="AD85" s="548"/>
      <c r="AE85" s="548"/>
      <c r="AF85" s="548"/>
      <c r="AG85" s="549"/>
      <c r="AH85" s="28"/>
      <c r="AI85" s="143"/>
    </row>
    <row r="86" spans="2:35" ht="14" customHeight="1" x14ac:dyDescent="0.15">
      <c r="B86" s="2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203"/>
      <c r="S86" s="202"/>
      <c r="T86" s="202"/>
      <c r="U86" s="202"/>
      <c r="V86" s="202"/>
      <c r="W86" s="202"/>
      <c r="X86" s="202"/>
      <c r="Y86" s="204"/>
      <c r="Z86" s="548"/>
      <c r="AA86" s="548"/>
      <c r="AB86" s="548"/>
      <c r="AC86" s="548"/>
      <c r="AD86" s="548"/>
      <c r="AE86" s="548"/>
      <c r="AF86" s="548"/>
      <c r="AG86" s="549"/>
      <c r="AH86" s="28"/>
    </row>
    <row r="87" spans="2:35" ht="9.75" customHeight="1" x14ac:dyDescent="0.15">
      <c r="B87" s="27"/>
      <c r="C87" s="337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FEDERACIÓN ANDALUZA DE AUTOMOVILISMO, con domicilio en C/ Sto. Domingo, nº 22 Local 1- Edif. Almería, 11402-Jerez de la Frontera (CADIZ) junto con la Federación Andaluza de Automovilismo. La finalidad de este fichero es llevar a cabo la gestión y control de los participantes en la MEMORIAL PACO MELERO. Si lo desean podrán ejercitar los derechos de acceso, rectificación, cancelación y oposición, dirigiéndose por escrito a la dirección señalada y adjuntando una fotocopia de su DNI.</v>
      </c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203"/>
      <c r="S87" s="202"/>
      <c r="T87" s="202"/>
      <c r="U87" s="202"/>
      <c r="V87" s="202"/>
      <c r="W87" s="202"/>
      <c r="X87" s="202"/>
      <c r="Y87" s="204"/>
      <c r="Z87" s="548"/>
      <c r="AA87" s="548"/>
      <c r="AB87" s="548"/>
      <c r="AC87" s="548"/>
      <c r="AD87" s="548"/>
      <c r="AE87" s="548"/>
      <c r="AF87" s="548"/>
      <c r="AG87" s="549"/>
      <c r="AH87" s="28"/>
    </row>
    <row r="88" spans="2:35" ht="15" customHeight="1" x14ac:dyDescent="0.15">
      <c r="B88" s="2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203"/>
      <c r="S88" s="202"/>
      <c r="T88" s="202"/>
      <c r="U88" s="202"/>
      <c r="V88" s="202"/>
      <c r="W88" s="202"/>
      <c r="X88" s="202"/>
      <c r="Y88" s="204"/>
      <c r="Z88" s="548"/>
      <c r="AA88" s="548"/>
      <c r="AB88" s="548"/>
      <c r="AC88" s="548"/>
      <c r="AD88" s="548"/>
      <c r="AE88" s="548"/>
      <c r="AF88" s="548"/>
      <c r="AG88" s="549"/>
      <c r="AH88" s="28"/>
    </row>
    <row r="89" spans="2:35" ht="12.75" customHeight="1" x14ac:dyDescent="0.15">
      <c r="B89" s="2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203"/>
      <c r="S89" s="202"/>
      <c r="T89" s="202"/>
      <c r="U89" s="202"/>
      <c r="V89" s="202"/>
      <c r="W89" s="202"/>
      <c r="X89" s="202"/>
      <c r="Y89" s="204"/>
      <c r="Z89" s="605" t="s">
        <v>204</v>
      </c>
      <c r="AA89" s="605"/>
      <c r="AB89" s="605"/>
      <c r="AC89" s="605"/>
      <c r="AD89" s="605"/>
      <c r="AE89" s="605"/>
      <c r="AF89" s="605"/>
      <c r="AG89" s="606"/>
      <c r="AH89" s="28"/>
      <c r="AI89" s="143"/>
    </row>
    <row r="90" spans="2:35" ht="12.75" customHeight="1" thickBot="1" x14ac:dyDescent="0.2">
      <c r="B90" s="2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205"/>
      <c r="S90" s="206"/>
      <c r="T90" s="206"/>
      <c r="U90" s="206"/>
      <c r="V90" s="206"/>
      <c r="W90" s="206"/>
      <c r="X90" s="206"/>
      <c r="Y90" s="207"/>
      <c r="Z90" s="544" t="s">
        <v>302</v>
      </c>
      <c r="AA90" s="544"/>
      <c r="AB90" s="544"/>
      <c r="AC90" s="544"/>
      <c r="AD90" s="544"/>
      <c r="AE90" s="544"/>
      <c r="AF90" s="544"/>
      <c r="AG90" s="545"/>
      <c r="AH90" s="28"/>
      <c r="AI90" s="143"/>
    </row>
    <row r="91" spans="2:35" ht="5.25" customHeight="1" x14ac:dyDescent="0.15">
      <c r="B91" s="2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202"/>
      <c r="S91" s="202"/>
      <c r="T91" s="202"/>
      <c r="U91" s="202"/>
      <c r="V91" s="202"/>
      <c r="W91" s="202"/>
      <c r="X91" s="202"/>
      <c r="Y91" s="5"/>
      <c r="Z91" s="5"/>
      <c r="AA91" s="5"/>
      <c r="AB91" s="5"/>
      <c r="AC91" s="5"/>
      <c r="AD91" s="5"/>
      <c r="AE91" s="5"/>
      <c r="AF91" s="5"/>
      <c r="AG91" s="5"/>
      <c r="AH91" s="28"/>
      <c r="AI91" s="125"/>
    </row>
    <row r="92" spans="2:35" ht="3.75" customHeight="1" x14ac:dyDescent="0.15">
      <c r="B92" s="27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103"/>
      <c r="Z92" s="103"/>
      <c r="AA92" s="103"/>
      <c r="AB92" s="103"/>
      <c r="AC92" s="103"/>
      <c r="AD92" s="103"/>
      <c r="AE92" s="103"/>
      <c r="AF92" s="103"/>
      <c r="AG92" s="103"/>
      <c r="AH92" s="145"/>
      <c r="AI92" s="125"/>
    </row>
    <row r="93" spans="2:35" ht="9.75" hidden="1" customHeight="1" x14ac:dyDescent="0.15">
      <c r="B93" s="27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122"/>
      <c r="Z93" s="122"/>
      <c r="AA93" s="122"/>
      <c r="AB93" s="122"/>
      <c r="AC93" s="122"/>
      <c r="AD93" s="122"/>
      <c r="AE93" s="122"/>
      <c r="AF93" s="122"/>
      <c r="AG93" s="153"/>
      <c r="AH93" s="28"/>
      <c r="AI93" s="125"/>
    </row>
    <row r="94" spans="2:35" ht="7.5" hidden="1" customHeight="1" x14ac:dyDescent="0.15">
      <c r="B94" s="27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122"/>
      <c r="Z94" s="122"/>
      <c r="AA94" s="122"/>
      <c r="AB94" s="122"/>
      <c r="AC94" s="122"/>
      <c r="AD94" s="122"/>
      <c r="AE94" s="122"/>
      <c r="AF94" s="122"/>
      <c r="AG94" s="153"/>
      <c r="AH94" s="28"/>
      <c r="AI94" s="125"/>
    </row>
    <row r="95" spans="2:35" ht="0.75" customHeight="1" x14ac:dyDescent="0.15">
      <c r="B95" s="27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122"/>
      <c r="Z95" s="122"/>
      <c r="AA95" s="122"/>
      <c r="AB95" s="122"/>
      <c r="AC95" s="122"/>
      <c r="AD95" s="122"/>
      <c r="AE95" s="122"/>
      <c r="AF95" s="122"/>
      <c r="AG95" s="165"/>
      <c r="AH95" s="28"/>
      <c r="AI95" s="125"/>
    </row>
    <row r="96" spans="2:35" ht="3.75" hidden="1" customHeight="1" x14ac:dyDescent="0.15">
      <c r="B96" s="27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52"/>
      <c r="AH96" s="28"/>
      <c r="AI96" s="125"/>
    </row>
    <row r="97" spans="2:35" ht="1.5" customHeight="1" x14ac:dyDescent="0.15">
      <c r="B97" s="27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45"/>
      <c r="AI97" s="125"/>
    </row>
    <row r="98" spans="2:35" ht="15.75" hidden="1" customHeight="1" x14ac:dyDescent="0.15">
      <c r="B98" s="105"/>
      <c r="C98" s="79"/>
      <c r="D98" s="106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98"/>
      <c r="R98" s="98"/>
      <c r="S98" s="98"/>
      <c r="T98" s="98"/>
      <c r="U98" s="98"/>
      <c r="V98" s="98"/>
      <c r="W98" s="98"/>
      <c r="X98" s="98"/>
      <c r="Y98" s="103"/>
      <c r="Z98" s="103"/>
      <c r="AA98" s="103"/>
      <c r="AB98" s="103"/>
      <c r="AC98" s="103"/>
      <c r="AD98" s="103"/>
      <c r="AE98" s="103"/>
      <c r="AF98" s="103"/>
      <c r="AG98" s="152"/>
      <c r="AH98" s="107"/>
      <c r="AI98" s="125"/>
    </row>
    <row r="99" spans="2:35" ht="15.75" hidden="1" customHeight="1" x14ac:dyDescent="0.15">
      <c r="B99" s="27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52"/>
      <c r="AH99" s="28"/>
      <c r="AI99" s="125"/>
    </row>
    <row r="100" spans="2:35" ht="15.75" hidden="1" customHeight="1" x14ac:dyDescent="0.15">
      <c r="B100" s="27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52"/>
      <c r="AH100" s="28"/>
      <c r="AI100" s="125"/>
    </row>
    <row r="101" spans="2:35" ht="15.75" hidden="1" customHeight="1" x14ac:dyDescent="0.15">
      <c r="B101" s="27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52"/>
      <c r="AH101" s="28"/>
      <c r="AI101" s="125"/>
    </row>
    <row r="102" spans="2:35" ht="15.75" hidden="1" customHeight="1" x14ac:dyDescent="0.15">
      <c r="B102" s="27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52"/>
      <c r="AH102" s="28"/>
      <c r="AI102" s="125"/>
    </row>
    <row r="103" spans="2:35" ht="15.75" hidden="1" customHeight="1" x14ac:dyDescent="0.15">
      <c r="B103" s="27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52"/>
      <c r="AH103" s="28"/>
      <c r="AI103" s="125"/>
    </row>
    <row r="104" spans="2:35" ht="15.75" hidden="1" customHeight="1" x14ac:dyDescent="0.15">
      <c r="B104" s="27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52"/>
      <c r="AH104" s="28"/>
      <c r="AI104" s="125"/>
    </row>
    <row r="105" spans="2:35" ht="15.75" hidden="1" customHeight="1" x14ac:dyDescent="0.15">
      <c r="B105" s="105"/>
      <c r="C105" s="79"/>
      <c r="D105" s="106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154"/>
      <c r="AH105" s="107"/>
      <c r="AI105" s="125"/>
    </row>
    <row r="106" spans="2:35" ht="0.75" customHeight="1" x14ac:dyDescent="0.15">
      <c r="B106" s="157"/>
      <c r="C106" s="126"/>
      <c r="D106" s="126"/>
      <c r="E106" s="126"/>
      <c r="F106" s="126"/>
      <c r="G106" s="127"/>
      <c r="H106" s="127"/>
      <c r="I106" s="127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55"/>
      <c r="AH106" s="155"/>
    </row>
    <row r="107" spans="2:35" ht="15" customHeight="1" x14ac:dyDescent="0.15">
      <c r="B107" s="160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1</v>
      </c>
      <c r="AH107" s="209">
        <v>34335</v>
      </c>
    </row>
    <row r="108" spans="2:35" ht="11.25" customHeight="1" x14ac:dyDescent="0.15">
      <c r="B108" s="27"/>
      <c r="C108" s="5"/>
      <c r="D108" s="5"/>
      <c r="E108" s="5"/>
      <c r="F108" s="5"/>
      <c r="G108" s="413">
        <v>41291.042360185187</v>
      </c>
      <c r="H108" s="413"/>
      <c r="I108" s="413"/>
      <c r="J108" s="413"/>
      <c r="K108" s="33"/>
      <c r="L108" s="423" t="s">
        <v>213</v>
      </c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33"/>
      <c r="AA108" s="33"/>
      <c r="AB108" s="33"/>
      <c r="AC108" s="33"/>
      <c r="AD108" s="33"/>
      <c r="AE108" s="33"/>
      <c r="AF108" s="33"/>
      <c r="AG108" s="33"/>
      <c r="AH108" s="28"/>
    </row>
    <row r="109" spans="2:35" ht="5.25" customHeight="1" x14ac:dyDescent="0.15">
      <c r="B109" s="27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8"/>
    </row>
    <row r="110" spans="2:35" ht="15" customHeight="1" x14ac:dyDescent="0.15">
      <c r="B110" s="27"/>
      <c r="C110" s="5"/>
      <c r="D110" s="5"/>
      <c r="E110" s="5"/>
      <c r="F110" s="5"/>
      <c r="G110" s="33"/>
      <c r="H110" s="33"/>
      <c r="I110" s="33"/>
      <c r="J110" s="33"/>
      <c r="K110" s="33"/>
      <c r="L110" s="424" t="str">
        <f>L14</f>
        <v>JEREZ - 2022</v>
      </c>
      <c r="M110" s="424"/>
      <c r="N110" s="424"/>
      <c r="O110" s="424"/>
      <c r="P110" s="424"/>
      <c r="Q110" s="424"/>
      <c r="R110" s="424"/>
      <c r="S110" s="424"/>
      <c r="T110" s="424"/>
      <c r="U110" s="424"/>
      <c r="V110" s="424"/>
      <c r="W110" s="424"/>
      <c r="X110" s="424"/>
      <c r="Y110" s="424"/>
      <c r="Z110" s="33"/>
      <c r="AA110" s="33"/>
      <c r="AB110" s="33"/>
      <c r="AC110" s="33"/>
      <c r="AD110" s="33"/>
      <c r="AE110" s="33"/>
      <c r="AF110" s="33"/>
      <c r="AG110" s="33"/>
      <c r="AH110" s="28"/>
    </row>
    <row r="111" spans="2:35" ht="3.75" customHeight="1" x14ac:dyDescent="0.15">
      <c r="B111" s="27"/>
      <c r="C111" s="5"/>
      <c r="D111" s="5"/>
      <c r="E111" s="5"/>
      <c r="F111" s="5"/>
      <c r="G111" s="5"/>
      <c r="H111" s="109"/>
      <c r="I111" s="109"/>
      <c r="J111" s="109"/>
      <c r="K111" s="109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109"/>
      <c r="AA111" s="109"/>
      <c r="AB111" s="109"/>
      <c r="AC111" s="109"/>
      <c r="AD111" s="109"/>
      <c r="AE111" s="109"/>
      <c r="AF111" s="109"/>
      <c r="AG111" s="109"/>
      <c r="AH111" s="28"/>
    </row>
    <row r="112" spans="2:35" ht="4.5" customHeight="1" x14ac:dyDescent="0.15">
      <c r="B112" s="29">
        <v>3</v>
      </c>
      <c r="C112" s="5"/>
      <c r="D112" s="5"/>
      <c r="E112" s="5"/>
      <c r="F112" s="5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28"/>
    </row>
    <row r="113" spans="1:34" ht="10.5" customHeight="1" x14ac:dyDescent="0.15">
      <c r="B113" s="29"/>
      <c r="C113" s="403" t="s">
        <v>19</v>
      </c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4"/>
      <c r="O113" s="404"/>
      <c r="P113" s="404"/>
      <c r="Q113" s="404"/>
      <c r="R113" s="404"/>
      <c r="S113" s="404"/>
      <c r="T113" s="404"/>
      <c r="U113" s="404"/>
      <c r="V113" s="404"/>
      <c r="W113" s="404"/>
      <c r="X113" s="405"/>
      <c r="Y113" s="85"/>
      <c r="Z113" s="403" t="s">
        <v>186</v>
      </c>
      <c r="AA113" s="404"/>
      <c r="AB113" s="404"/>
      <c r="AC113" s="404"/>
      <c r="AD113" s="404"/>
      <c r="AE113" s="404"/>
      <c r="AF113" s="404"/>
      <c r="AG113" s="405"/>
      <c r="AH113" s="28"/>
    </row>
    <row r="114" spans="1:34" ht="6.75" customHeight="1" x14ac:dyDescent="0.15">
      <c r="B114" s="29"/>
      <c r="C114" s="407" t="str">
        <f>C18</f>
        <v>MEMORIAL PACO MELERO</v>
      </c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9"/>
      <c r="Y114" s="85"/>
      <c r="Z114" s="425">
        <f>Z18</f>
        <v>44906</v>
      </c>
      <c r="AA114" s="426"/>
      <c r="AB114" s="426"/>
      <c r="AC114" s="426"/>
      <c r="AD114" s="426"/>
      <c r="AE114" s="426"/>
      <c r="AF114" s="426"/>
      <c r="AG114" s="427"/>
      <c r="AH114" s="28"/>
    </row>
    <row r="115" spans="1:34" ht="13.5" customHeight="1" x14ac:dyDescent="0.15">
      <c r="B115" s="29"/>
      <c r="C115" s="410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2"/>
      <c r="Y115" s="85"/>
      <c r="Z115" s="428"/>
      <c r="AA115" s="429"/>
      <c r="AB115" s="429"/>
      <c r="AC115" s="429"/>
      <c r="AD115" s="429"/>
      <c r="AE115" s="429"/>
      <c r="AF115" s="429"/>
      <c r="AG115" s="430"/>
      <c r="AH115" s="28"/>
    </row>
    <row r="116" spans="1:34" ht="13.5" customHeight="1" thickBot="1" x14ac:dyDescent="0.2">
      <c r="B116" s="29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50"/>
      <c r="AA116" s="150"/>
      <c r="AB116" s="150"/>
      <c r="AC116" s="150"/>
      <c r="AD116" s="150"/>
      <c r="AE116" s="150"/>
      <c r="AF116" s="150"/>
      <c r="AG116" s="150"/>
      <c r="AH116" s="28"/>
    </row>
    <row r="117" spans="1:34" ht="6.75" customHeight="1" x14ac:dyDescent="0.15">
      <c r="B117" s="27"/>
      <c r="C117" s="610" t="s">
        <v>184</v>
      </c>
      <c r="D117" s="610"/>
      <c r="E117" s="610"/>
      <c r="F117" s="610"/>
      <c r="G117" s="518" t="str">
        <f>CONCATENATE(D36," ",L36," ",V36)</f>
        <v xml:space="preserve">  </v>
      </c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167"/>
      <c r="Z117" s="525" t="s">
        <v>278</v>
      </c>
      <c r="AA117" s="526"/>
      <c r="AB117" s="526"/>
      <c r="AC117" s="527"/>
      <c r="AD117" s="161"/>
      <c r="AE117" s="437" t="s">
        <v>177</v>
      </c>
      <c r="AF117" s="438"/>
      <c r="AG117" s="439"/>
      <c r="AH117" s="28"/>
    </row>
    <row r="118" spans="1:34" ht="6.75" customHeight="1" thickBot="1" x14ac:dyDescent="0.2">
      <c r="B118" s="27"/>
      <c r="C118" s="610"/>
      <c r="D118" s="610"/>
      <c r="E118" s="610"/>
      <c r="F118" s="610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167"/>
      <c r="Z118" s="528"/>
      <c r="AA118" s="529"/>
      <c r="AB118" s="529"/>
      <c r="AC118" s="530"/>
      <c r="AD118" s="161"/>
      <c r="AE118" s="440"/>
      <c r="AF118" s="441"/>
      <c r="AG118" s="442"/>
      <c r="AH118" s="28"/>
    </row>
    <row r="119" spans="1:34" ht="6.75" customHeight="1" x14ac:dyDescent="0.15">
      <c r="B119" s="27"/>
      <c r="C119" s="610"/>
      <c r="D119" s="610"/>
      <c r="E119" s="610"/>
      <c r="F119" s="610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167"/>
      <c r="Z119" s="572" t="str">
        <f>CONCATENATE(Q60," ",U60)</f>
        <v xml:space="preserve"> </v>
      </c>
      <c r="AA119" s="573"/>
      <c r="AB119" s="573"/>
      <c r="AC119" s="574"/>
      <c r="AD119" s="162"/>
      <c r="AE119" s="519">
        <f>AE25</f>
        <v>0</v>
      </c>
      <c r="AF119" s="520"/>
      <c r="AG119" s="521"/>
      <c r="AH119" s="28"/>
    </row>
    <row r="120" spans="1:34" ht="6.75" customHeight="1" x14ac:dyDescent="0.15">
      <c r="B120" s="27"/>
      <c r="C120" s="159"/>
      <c r="D120" s="159"/>
      <c r="E120" s="159"/>
      <c r="F120" s="159"/>
      <c r="G120" s="159"/>
      <c r="H120" s="159"/>
      <c r="I120" s="159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575"/>
      <c r="AA120" s="576"/>
      <c r="AB120" s="576"/>
      <c r="AC120" s="577"/>
      <c r="AD120" s="162"/>
      <c r="AE120" s="519"/>
      <c r="AF120" s="520"/>
      <c r="AG120" s="521"/>
      <c r="AH120" s="28"/>
    </row>
    <row r="121" spans="1:34" ht="6.75" customHeight="1" x14ac:dyDescent="0.15">
      <c r="B121" s="27"/>
      <c r="C121" s="609" t="s">
        <v>261</v>
      </c>
      <c r="D121" s="609"/>
      <c r="E121" s="609"/>
      <c r="F121" s="609"/>
      <c r="G121" s="517" t="str">
        <f>CONCATENATE(C56," ",C58)</f>
        <v xml:space="preserve"> </v>
      </c>
      <c r="H121" s="517"/>
      <c r="I121" s="517"/>
      <c r="J121" s="517"/>
      <c r="K121" s="517"/>
      <c r="L121" s="517"/>
      <c r="M121" s="517"/>
      <c r="N121" s="517"/>
      <c r="O121" s="517"/>
      <c r="P121" s="517"/>
      <c r="Q121" s="517"/>
      <c r="R121" s="517"/>
      <c r="S121" s="517"/>
      <c r="T121" s="517"/>
      <c r="U121" s="517"/>
      <c r="V121" s="517"/>
      <c r="W121" s="517"/>
      <c r="X121" s="517"/>
      <c r="Y121" s="158"/>
      <c r="Z121" s="575"/>
      <c r="AA121" s="576"/>
      <c r="AB121" s="576"/>
      <c r="AC121" s="577"/>
      <c r="AD121" s="162"/>
      <c r="AE121" s="519"/>
      <c r="AF121" s="520"/>
      <c r="AG121" s="521"/>
      <c r="AH121" s="28"/>
    </row>
    <row r="122" spans="1:34" ht="6.75" customHeight="1" x14ac:dyDescent="0.15">
      <c r="B122" s="27"/>
      <c r="C122" s="609"/>
      <c r="D122" s="609"/>
      <c r="E122" s="609"/>
      <c r="F122" s="609"/>
      <c r="G122" s="517"/>
      <c r="H122" s="517"/>
      <c r="I122" s="517"/>
      <c r="J122" s="517"/>
      <c r="K122" s="517"/>
      <c r="L122" s="517"/>
      <c r="M122" s="517"/>
      <c r="N122" s="517"/>
      <c r="O122" s="517"/>
      <c r="P122" s="517"/>
      <c r="Q122" s="517"/>
      <c r="R122" s="517"/>
      <c r="S122" s="517"/>
      <c r="T122" s="517"/>
      <c r="U122" s="517"/>
      <c r="V122" s="517"/>
      <c r="W122" s="517"/>
      <c r="X122" s="517"/>
      <c r="Y122" s="158"/>
      <c r="Z122" s="575"/>
      <c r="AA122" s="576"/>
      <c r="AB122" s="576"/>
      <c r="AC122" s="577"/>
      <c r="AD122" s="162"/>
      <c r="AE122" s="519"/>
      <c r="AF122" s="520"/>
      <c r="AG122" s="521"/>
      <c r="AH122" s="28"/>
    </row>
    <row r="123" spans="1:34" ht="6" customHeight="1" x14ac:dyDescent="0.15">
      <c r="B123" s="27"/>
      <c r="C123" s="609"/>
      <c r="D123" s="609"/>
      <c r="E123" s="609"/>
      <c r="F123" s="609"/>
      <c r="G123" s="517"/>
      <c r="H123" s="517"/>
      <c r="I123" s="517"/>
      <c r="J123" s="517"/>
      <c r="K123" s="517"/>
      <c r="L123" s="517"/>
      <c r="M123" s="517"/>
      <c r="N123" s="517"/>
      <c r="O123" s="517"/>
      <c r="P123" s="517"/>
      <c r="Q123" s="517"/>
      <c r="R123" s="517"/>
      <c r="S123" s="517"/>
      <c r="T123" s="517"/>
      <c r="U123" s="517"/>
      <c r="V123" s="517"/>
      <c r="W123" s="517"/>
      <c r="X123" s="517"/>
      <c r="Y123" s="158"/>
      <c r="Z123" s="575"/>
      <c r="AA123" s="576"/>
      <c r="AB123" s="576"/>
      <c r="AC123" s="577"/>
      <c r="AD123" s="162"/>
      <c r="AE123" s="519"/>
      <c r="AF123" s="520"/>
      <c r="AG123" s="521"/>
      <c r="AH123" s="28"/>
    </row>
    <row r="124" spans="1:34" ht="6" customHeight="1" thickBot="1" x14ac:dyDescent="0.2">
      <c r="B124" s="27"/>
      <c r="C124" s="609"/>
      <c r="D124" s="609"/>
      <c r="E124" s="609"/>
      <c r="F124" s="609"/>
      <c r="G124" s="517"/>
      <c r="H124" s="517"/>
      <c r="I124" s="517"/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17"/>
      <c r="X124" s="517"/>
      <c r="Y124" s="166"/>
      <c r="Z124" s="578"/>
      <c r="AA124" s="579"/>
      <c r="AB124" s="579"/>
      <c r="AC124" s="580"/>
      <c r="AD124" s="162"/>
      <c r="AE124" s="522"/>
      <c r="AF124" s="523"/>
      <c r="AG124" s="524"/>
      <c r="AH124" s="28"/>
    </row>
    <row r="125" spans="1:34" ht="5.25" customHeight="1" x14ac:dyDescent="0.15">
      <c r="B125" s="29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50"/>
      <c r="AA125" s="150"/>
      <c r="AB125" s="150"/>
      <c r="AC125" s="150"/>
      <c r="AD125" s="150"/>
      <c r="AE125" s="150"/>
      <c r="AF125" s="150"/>
      <c r="AG125" s="150"/>
      <c r="AH125" s="28"/>
    </row>
    <row r="126" spans="1:34" ht="4.5" customHeight="1" x14ac:dyDescent="0.15">
      <c r="B126" s="29"/>
      <c r="C126" s="5"/>
      <c r="D126" s="5"/>
      <c r="E126" s="5"/>
      <c r="F126" s="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5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28"/>
    </row>
    <row r="127" spans="1:34" ht="22.5" customHeight="1" x14ac:dyDescent="0.15">
      <c r="A127" s="125"/>
      <c r="B127" s="27"/>
      <c r="C127" s="617" t="s">
        <v>228</v>
      </c>
      <c r="D127" s="618"/>
      <c r="E127" s="618"/>
      <c r="F127" s="618"/>
      <c r="G127" s="618"/>
      <c r="H127" s="618"/>
      <c r="I127" s="618"/>
      <c r="J127" s="618"/>
      <c r="K127" s="618"/>
      <c r="L127" s="618"/>
      <c r="M127" s="618"/>
      <c r="N127" s="618"/>
      <c r="O127" s="618"/>
      <c r="P127" s="618"/>
      <c r="Q127" s="618"/>
      <c r="R127" s="618"/>
      <c r="S127" s="618"/>
      <c r="T127" s="618"/>
      <c r="U127" s="618"/>
      <c r="V127" s="618"/>
      <c r="W127" s="618"/>
      <c r="X127" s="618"/>
      <c r="Y127" s="618"/>
      <c r="Z127" s="618"/>
      <c r="AA127" s="618"/>
      <c r="AB127" s="618"/>
      <c r="AC127" s="618"/>
      <c r="AD127" s="618"/>
      <c r="AE127" s="618"/>
      <c r="AF127" s="618"/>
      <c r="AG127" s="618"/>
      <c r="AH127" s="28"/>
    </row>
    <row r="128" spans="1:34" ht="3" customHeight="1" x14ac:dyDescent="0.15">
      <c r="A128" s="125"/>
      <c r="B128" s="27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28"/>
    </row>
    <row r="129" spans="1:36" ht="12" customHeight="1" x14ac:dyDescent="0.15">
      <c r="A129" s="125"/>
      <c r="B129" s="27"/>
      <c r="C129" s="571" t="s">
        <v>230</v>
      </c>
      <c r="D129" s="571"/>
      <c r="E129" s="571"/>
      <c r="F129" s="571"/>
      <c r="G129" s="571"/>
      <c r="H129" s="571"/>
      <c r="I129" s="571"/>
      <c r="J129" s="571"/>
      <c r="K129" s="571"/>
      <c r="L129" s="571"/>
      <c r="M129" s="571"/>
      <c r="N129" s="571"/>
      <c r="O129" s="571"/>
      <c r="P129" s="571"/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1"/>
      <c r="AH129" s="28"/>
    </row>
    <row r="130" spans="1:36" ht="12" customHeight="1" x14ac:dyDescent="0.15">
      <c r="A130" s="125"/>
      <c r="B130" s="27"/>
      <c r="C130" s="142"/>
      <c r="D130" s="338" t="s">
        <v>292</v>
      </c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142"/>
      <c r="AH130" s="28"/>
    </row>
    <row r="131" spans="1:36" ht="15" customHeight="1" x14ac:dyDescent="0.15">
      <c r="A131" s="125"/>
      <c r="B131" s="27"/>
      <c r="C131" s="333" t="s">
        <v>231</v>
      </c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5"/>
      <c r="Q131" s="252" t="s">
        <v>184</v>
      </c>
      <c r="R131" s="253"/>
      <c r="S131" s="253"/>
      <c r="T131" s="253"/>
      <c r="U131" s="253"/>
      <c r="V131" s="253"/>
      <c r="W131" s="253"/>
      <c r="X131" s="253"/>
      <c r="Y131" s="254"/>
      <c r="Z131" s="540" t="s">
        <v>224</v>
      </c>
      <c r="AA131" s="541"/>
      <c r="AB131" s="541"/>
      <c r="AC131" s="541"/>
      <c r="AD131" s="541"/>
      <c r="AE131" s="541"/>
      <c r="AF131" s="541"/>
      <c r="AG131" s="542"/>
      <c r="AH131" s="28"/>
    </row>
    <row r="132" spans="1:36" ht="15" customHeight="1" x14ac:dyDescent="0.15">
      <c r="A132" s="125"/>
      <c r="B132" s="27"/>
      <c r="C132" s="294" t="s">
        <v>277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6"/>
      <c r="Q132" s="300" t="s">
        <v>270</v>
      </c>
      <c r="R132" s="301"/>
      <c r="S132" s="260"/>
      <c r="T132" s="260"/>
      <c r="U132" s="260"/>
      <c r="V132" s="260"/>
      <c r="W132" s="260"/>
      <c r="X132" s="260"/>
      <c r="Y132" s="261"/>
      <c r="Z132" s="300" t="s">
        <v>270</v>
      </c>
      <c r="AA132" s="301"/>
      <c r="AB132" s="260"/>
      <c r="AC132" s="260"/>
      <c r="AD132" s="260"/>
      <c r="AE132" s="260"/>
      <c r="AF132" s="260"/>
      <c r="AG132" s="261"/>
      <c r="AH132" s="28"/>
    </row>
    <row r="133" spans="1:36" ht="15" customHeight="1" x14ac:dyDescent="0.15">
      <c r="A133" s="125"/>
      <c r="B133" s="27"/>
      <c r="C133" s="294" t="s">
        <v>271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6"/>
      <c r="Q133" s="297" t="s">
        <v>229</v>
      </c>
      <c r="R133" s="298"/>
      <c r="S133" s="298"/>
      <c r="T133" s="298"/>
      <c r="U133" s="298"/>
      <c r="V133" s="298"/>
      <c r="W133" s="298"/>
      <c r="X133" s="298"/>
      <c r="Y133" s="299"/>
      <c r="Z133" s="259" t="s">
        <v>229</v>
      </c>
      <c r="AA133" s="260"/>
      <c r="AB133" s="260"/>
      <c r="AC133" s="260"/>
      <c r="AD133" s="260"/>
      <c r="AE133" s="260"/>
      <c r="AF133" s="260"/>
      <c r="AG133" s="261"/>
      <c r="AH133" s="28"/>
    </row>
    <row r="134" spans="1:36" ht="15" customHeight="1" x14ac:dyDescent="0.15">
      <c r="A134" s="125"/>
      <c r="B134" s="27"/>
      <c r="C134" s="294" t="s">
        <v>272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6"/>
      <c r="Q134" s="297" t="s">
        <v>229</v>
      </c>
      <c r="R134" s="298"/>
      <c r="S134" s="298"/>
      <c r="T134" s="298"/>
      <c r="U134" s="298"/>
      <c r="V134" s="298"/>
      <c r="W134" s="298"/>
      <c r="X134" s="298"/>
      <c r="Y134" s="299"/>
      <c r="Z134" s="259" t="s">
        <v>229</v>
      </c>
      <c r="AA134" s="260"/>
      <c r="AB134" s="260"/>
      <c r="AC134" s="260"/>
      <c r="AD134" s="260"/>
      <c r="AE134" s="260"/>
      <c r="AF134" s="260"/>
      <c r="AG134" s="261"/>
      <c r="AH134" s="28"/>
    </row>
    <row r="135" spans="1:36" ht="15" customHeight="1" x14ac:dyDescent="0.15">
      <c r="A135" s="125"/>
      <c r="B135" s="27"/>
      <c r="C135" s="294" t="s">
        <v>273</v>
      </c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6"/>
      <c r="Q135" s="297" t="s">
        <v>229</v>
      </c>
      <c r="R135" s="298"/>
      <c r="S135" s="298"/>
      <c r="T135" s="298"/>
      <c r="U135" s="298"/>
      <c r="V135" s="298"/>
      <c r="W135" s="298"/>
      <c r="X135" s="298"/>
      <c r="Y135" s="299"/>
      <c r="Z135" s="259" t="s">
        <v>229</v>
      </c>
      <c r="AA135" s="260"/>
      <c r="AB135" s="260"/>
      <c r="AC135" s="260"/>
      <c r="AD135" s="260"/>
      <c r="AE135" s="260"/>
      <c r="AF135" s="260"/>
      <c r="AG135" s="261"/>
      <c r="AH135" s="28"/>
    </row>
    <row r="136" spans="1:36" customFormat="1" ht="6" customHeight="1" x14ac:dyDescent="0.15">
      <c r="A136" s="125"/>
      <c r="B136" s="163"/>
      <c r="AH136" s="164"/>
      <c r="AI136" s="55"/>
      <c r="AJ136" s="55"/>
    </row>
    <row r="137" spans="1:36" ht="15" customHeight="1" x14ac:dyDescent="0.15">
      <c r="A137" s="125"/>
      <c r="B137" s="27"/>
      <c r="C137" s="531" t="s">
        <v>321</v>
      </c>
      <c r="D137" s="532"/>
      <c r="E137" s="532"/>
      <c r="F137" s="532"/>
      <c r="G137" s="532"/>
      <c r="H137" s="532"/>
      <c r="I137" s="532"/>
      <c r="J137" s="532"/>
      <c r="K137" s="532"/>
      <c r="L137" s="533"/>
      <c r="M137" s="255" t="s">
        <v>232</v>
      </c>
      <c r="N137" s="255"/>
      <c r="O137" s="255"/>
      <c r="P137" s="255"/>
      <c r="Q137" s="259"/>
      <c r="R137" s="260"/>
      <c r="S137" s="260"/>
      <c r="T137" s="260"/>
      <c r="U137" s="260"/>
      <c r="V137" s="260"/>
      <c r="W137" s="260"/>
      <c r="X137" s="260"/>
      <c r="Y137" s="261"/>
      <c r="Z137" s="259"/>
      <c r="AA137" s="260"/>
      <c r="AB137" s="260"/>
      <c r="AC137" s="260"/>
      <c r="AD137" s="260"/>
      <c r="AE137" s="260"/>
      <c r="AF137" s="260"/>
      <c r="AG137" s="261"/>
      <c r="AH137" s="28"/>
    </row>
    <row r="138" spans="1:36" ht="15" customHeight="1" x14ac:dyDescent="0.15">
      <c r="A138" s="125"/>
      <c r="B138" s="27"/>
      <c r="C138" s="534"/>
      <c r="D138" s="535"/>
      <c r="E138" s="535"/>
      <c r="F138" s="535"/>
      <c r="G138" s="535"/>
      <c r="H138" s="535"/>
      <c r="I138" s="535"/>
      <c r="J138" s="535"/>
      <c r="K138" s="535"/>
      <c r="L138" s="536"/>
      <c r="M138" s="255" t="s">
        <v>105</v>
      </c>
      <c r="N138" s="255"/>
      <c r="O138" s="255"/>
      <c r="P138" s="255"/>
      <c r="Q138" s="259"/>
      <c r="R138" s="260"/>
      <c r="S138" s="260"/>
      <c r="T138" s="260"/>
      <c r="U138" s="260"/>
      <c r="V138" s="260"/>
      <c r="W138" s="260"/>
      <c r="X138" s="260"/>
      <c r="Y138" s="261"/>
      <c r="Z138" s="259"/>
      <c r="AA138" s="260"/>
      <c r="AB138" s="260"/>
      <c r="AC138" s="260"/>
      <c r="AD138" s="260"/>
      <c r="AE138" s="260"/>
      <c r="AF138" s="260"/>
      <c r="AG138" s="261"/>
      <c r="AH138" s="28"/>
    </row>
    <row r="139" spans="1:36" ht="15" customHeight="1" x14ac:dyDescent="0.15">
      <c r="A139" s="125"/>
      <c r="B139" s="27"/>
      <c r="C139" s="537"/>
      <c r="D139" s="538"/>
      <c r="E139" s="538"/>
      <c r="F139" s="538"/>
      <c r="G139" s="538"/>
      <c r="H139" s="538"/>
      <c r="I139" s="538"/>
      <c r="J139" s="538"/>
      <c r="K139" s="538"/>
      <c r="L139" s="539"/>
      <c r="M139" s="255" t="s">
        <v>106</v>
      </c>
      <c r="N139" s="255"/>
      <c r="O139" s="255"/>
      <c r="P139" s="255"/>
      <c r="Q139" s="259"/>
      <c r="R139" s="260"/>
      <c r="S139" s="260"/>
      <c r="T139" s="260"/>
      <c r="U139" s="260"/>
      <c r="V139" s="260"/>
      <c r="W139" s="260"/>
      <c r="X139" s="260"/>
      <c r="Y139" s="261"/>
      <c r="Z139" s="259"/>
      <c r="AA139" s="260"/>
      <c r="AB139" s="260"/>
      <c r="AC139" s="260"/>
      <c r="AD139" s="260"/>
      <c r="AE139" s="260"/>
      <c r="AF139" s="260"/>
      <c r="AG139" s="261"/>
      <c r="AH139" s="28"/>
    </row>
    <row r="140" spans="1:36" customFormat="1" ht="6" customHeight="1" x14ac:dyDescent="0.15">
      <c r="A140" s="125"/>
      <c r="B140" s="163"/>
      <c r="M140" s="3"/>
      <c r="N140" s="3"/>
      <c r="O140" s="3"/>
      <c r="P140" s="3"/>
      <c r="AH140" s="164"/>
      <c r="AI140" s="55"/>
      <c r="AJ140" s="55"/>
    </row>
    <row r="141" spans="1:36" ht="15" customHeight="1" x14ac:dyDescent="0.15">
      <c r="A141" s="125"/>
      <c r="B141" s="27"/>
      <c r="C141" s="271" t="s">
        <v>320</v>
      </c>
      <c r="D141" s="272"/>
      <c r="E141" s="272"/>
      <c r="F141" s="272"/>
      <c r="G141" s="272"/>
      <c r="H141" s="272"/>
      <c r="I141" s="272"/>
      <c r="J141" s="272"/>
      <c r="K141" s="272"/>
      <c r="L141" s="273"/>
      <c r="M141" s="255" t="s">
        <v>232</v>
      </c>
      <c r="N141" s="255"/>
      <c r="O141" s="255"/>
      <c r="P141" s="255"/>
      <c r="Q141" s="259"/>
      <c r="R141" s="260"/>
      <c r="S141" s="260"/>
      <c r="T141" s="260"/>
      <c r="U141" s="260"/>
      <c r="V141" s="260"/>
      <c r="W141" s="260"/>
      <c r="X141" s="260"/>
      <c r="Y141" s="261"/>
      <c r="Z141" s="259"/>
      <c r="AA141" s="260"/>
      <c r="AB141" s="260"/>
      <c r="AC141" s="260"/>
      <c r="AD141" s="260"/>
      <c r="AE141" s="260"/>
      <c r="AF141" s="260"/>
      <c r="AG141" s="261"/>
      <c r="AH141" s="28"/>
    </row>
    <row r="142" spans="1:36" ht="15" customHeight="1" x14ac:dyDescent="0.15">
      <c r="A142" s="125"/>
      <c r="B142" s="27"/>
      <c r="C142" s="274"/>
      <c r="D142" s="275"/>
      <c r="E142" s="275"/>
      <c r="F142" s="275"/>
      <c r="G142" s="275"/>
      <c r="H142" s="275"/>
      <c r="I142" s="275"/>
      <c r="J142" s="275"/>
      <c r="K142" s="275"/>
      <c r="L142" s="276"/>
      <c r="M142" s="255" t="s">
        <v>105</v>
      </c>
      <c r="N142" s="255"/>
      <c r="O142" s="255"/>
      <c r="P142" s="255"/>
      <c r="Q142" s="259"/>
      <c r="R142" s="260"/>
      <c r="S142" s="260"/>
      <c r="T142" s="260"/>
      <c r="U142" s="260"/>
      <c r="V142" s="260"/>
      <c r="W142" s="260"/>
      <c r="X142" s="260"/>
      <c r="Y142" s="261"/>
      <c r="Z142" s="259"/>
      <c r="AA142" s="260"/>
      <c r="AB142" s="260"/>
      <c r="AC142" s="260"/>
      <c r="AD142" s="260"/>
      <c r="AE142" s="260"/>
      <c r="AF142" s="260"/>
      <c r="AG142" s="261"/>
      <c r="AH142" s="28"/>
    </row>
    <row r="143" spans="1:36" ht="15" customHeight="1" x14ac:dyDescent="0.15">
      <c r="A143" s="125"/>
      <c r="B143" s="27"/>
      <c r="C143" s="277"/>
      <c r="D143" s="278"/>
      <c r="E143" s="278"/>
      <c r="F143" s="278"/>
      <c r="G143" s="278"/>
      <c r="H143" s="278"/>
      <c r="I143" s="278"/>
      <c r="J143" s="278"/>
      <c r="K143" s="278"/>
      <c r="L143" s="279"/>
      <c r="M143" s="255" t="s">
        <v>106</v>
      </c>
      <c r="N143" s="255"/>
      <c r="O143" s="255"/>
      <c r="P143" s="255"/>
      <c r="Q143" s="259"/>
      <c r="R143" s="260"/>
      <c r="S143" s="260"/>
      <c r="T143" s="260"/>
      <c r="U143" s="260"/>
      <c r="V143" s="260"/>
      <c r="W143" s="260"/>
      <c r="X143" s="260"/>
      <c r="Y143" s="261"/>
      <c r="Z143" s="259"/>
      <c r="AA143" s="260"/>
      <c r="AB143" s="260"/>
      <c r="AC143" s="260"/>
      <c r="AD143" s="260"/>
      <c r="AE143" s="260"/>
      <c r="AF143" s="260"/>
      <c r="AG143" s="261"/>
      <c r="AH143" s="28"/>
    </row>
    <row r="144" spans="1:36" ht="15" customHeight="1" x14ac:dyDescent="0.15">
      <c r="A144" s="125"/>
      <c r="B144" s="27"/>
      <c r="C144" s="282" t="s">
        <v>233</v>
      </c>
      <c r="D144" s="282"/>
      <c r="E144" s="282"/>
      <c r="F144" s="282"/>
      <c r="G144" s="282"/>
      <c r="H144" s="282"/>
      <c r="I144" s="282"/>
      <c r="J144" s="282"/>
      <c r="K144" s="282"/>
      <c r="L144" s="282"/>
      <c r="M144" s="255" t="s">
        <v>232</v>
      </c>
      <c r="N144" s="255"/>
      <c r="O144" s="255"/>
      <c r="P144" s="255"/>
      <c r="Q144" s="259"/>
      <c r="R144" s="260"/>
      <c r="S144" s="260"/>
      <c r="T144" s="260"/>
      <c r="U144" s="260"/>
      <c r="V144" s="260"/>
      <c r="W144" s="260"/>
      <c r="X144" s="260"/>
      <c r="Y144" s="261"/>
      <c r="Z144" s="259"/>
      <c r="AA144" s="260"/>
      <c r="AB144" s="260"/>
      <c r="AC144" s="260"/>
      <c r="AD144" s="260"/>
      <c r="AE144" s="260"/>
      <c r="AF144" s="260"/>
      <c r="AG144" s="261"/>
      <c r="AH144" s="28"/>
    </row>
    <row r="145" spans="1:36" customFormat="1" ht="6" customHeight="1" x14ac:dyDescent="0.15">
      <c r="A145" s="125"/>
      <c r="B145" s="163"/>
      <c r="AH145" s="164"/>
      <c r="AI145" s="55"/>
      <c r="AJ145" s="55"/>
    </row>
    <row r="146" spans="1:36" ht="15" customHeight="1" x14ac:dyDescent="0.15">
      <c r="A146" s="125"/>
      <c r="B146" s="27"/>
      <c r="C146" s="280" t="s">
        <v>234</v>
      </c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"/>
    </row>
    <row r="147" spans="1:36" customFormat="1" ht="6" customHeight="1" x14ac:dyDescent="0.15">
      <c r="A147" s="125"/>
      <c r="B147" s="163"/>
      <c r="AH147" s="164"/>
      <c r="AI147" s="55"/>
      <c r="AJ147" s="55"/>
    </row>
    <row r="148" spans="1:36" ht="15" customHeight="1" x14ac:dyDescent="0.15">
      <c r="A148" s="125"/>
      <c r="B148" s="27"/>
      <c r="C148" s="268" t="s">
        <v>235</v>
      </c>
      <c r="D148" s="269"/>
      <c r="E148" s="270"/>
      <c r="F148" s="268" t="s">
        <v>184</v>
      </c>
      <c r="G148" s="269"/>
      <c r="H148" s="269"/>
      <c r="I148" s="269"/>
      <c r="J148" s="269"/>
      <c r="K148" s="270"/>
      <c r="L148" s="268" t="s">
        <v>224</v>
      </c>
      <c r="M148" s="269"/>
      <c r="N148" s="269"/>
      <c r="O148" s="269"/>
      <c r="P148" s="270"/>
      <c r="Q148" s="268" t="s">
        <v>236</v>
      </c>
      <c r="R148" s="269"/>
      <c r="S148" s="269"/>
      <c r="T148" s="269"/>
      <c r="U148" s="270"/>
      <c r="V148" s="268" t="s">
        <v>184</v>
      </c>
      <c r="W148" s="269"/>
      <c r="X148" s="269"/>
      <c r="Y148" s="269"/>
      <c r="Z148" s="269"/>
      <c r="AA148" s="270"/>
      <c r="AB148" s="268" t="s">
        <v>224</v>
      </c>
      <c r="AC148" s="269"/>
      <c r="AD148" s="269"/>
      <c r="AE148" s="269"/>
      <c r="AF148" s="269"/>
      <c r="AG148" s="270"/>
      <c r="AH148" s="28"/>
    </row>
    <row r="149" spans="1:36" ht="15" customHeight="1" x14ac:dyDescent="0.15">
      <c r="B149" s="27"/>
      <c r="C149" s="244" t="s">
        <v>237</v>
      </c>
      <c r="D149" s="245"/>
      <c r="E149" s="246"/>
      <c r="F149" s="259"/>
      <c r="G149" s="260"/>
      <c r="H149" s="260"/>
      <c r="I149" s="260"/>
      <c r="J149" s="260"/>
      <c r="K149" s="261"/>
      <c r="L149" s="259"/>
      <c r="M149" s="260"/>
      <c r="N149" s="260"/>
      <c r="O149" s="260"/>
      <c r="P149" s="260"/>
      <c r="Q149" s="244" t="s">
        <v>237</v>
      </c>
      <c r="R149" s="245"/>
      <c r="S149" s="245"/>
      <c r="T149" s="245"/>
      <c r="U149" s="246"/>
      <c r="V149" s="259"/>
      <c r="W149" s="260"/>
      <c r="X149" s="260"/>
      <c r="Y149" s="260"/>
      <c r="Z149" s="260"/>
      <c r="AA149" s="261"/>
      <c r="AB149" s="259"/>
      <c r="AC149" s="260"/>
      <c r="AD149" s="260"/>
      <c r="AE149" s="260"/>
      <c r="AF149" s="260"/>
      <c r="AG149" s="261"/>
      <c r="AH149" s="28"/>
    </row>
    <row r="150" spans="1:36" ht="15" customHeight="1" x14ac:dyDescent="0.15">
      <c r="B150" s="27"/>
      <c r="C150" s="244" t="s">
        <v>232</v>
      </c>
      <c r="D150" s="245"/>
      <c r="E150" s="246"/>
      <c r="F150" s="259"/>
      <c r="G150" s="260"/>
      <c r="H150" s="260"/>
      <c r="I150" s="260"/>
      <c r="J150" s="260"/>
      <c r="K150" s="261"/>
      <c r="L150" s="259"/>
      <c r="M150" s="260"/>
      <c r="N150" s="260"/>
      <c r="O150" s="260"/>
      <c r="P150" s="261"/>
      <c r="Q150" s="244" t="s">
        <v>232</v>
      </c>
      <c r="R150" s="245"/>
      <c r="S150" s="245"/>
      <c r="T150" s="245"/>
      <c r="U150" s="246"/>
      <c r="V150" s="259"/>
      <c r="W150" s="260"/>
      <c r="X150" s="260"/>
      <c r="Y150" s="260"/>
      <c r="Z150" s="260"/>
      <c r="AA150" s="261"/>
      <c r="AB150" s="259"/>
      <c r="AC150" s="260"/>
      <c r="AD150" s="260"/>
      <c r="AE150" s="260"/>
      <c r="AF150" s="260"/>
      <c r="AG150" s="261"/>
      <c r="AH150" s="28"/>
    </row>
    <row r="151" spans="1:36" ht="15" customHeight="1" x14ac:dyDescent="0.15">
      <c r="B151" s="27"/>
      <c r="C151" s="244" t="s">
        <v>105</v>
      </c>
      <c r="D151" s="245"/>
      <c r="E151" s="246"/>
      <c r="F151" s="259"/>
      <c r="G151" s="260"/>
      <c r="H151" s="260"/>
      <c r="I151" s="260"/>
      <c r="J151" s="260"/>
      <c r="K151" s="261"/>
      <c r="L151" s="259"/>
      <c r="M151" s="260"/>
      <c r="N151" s="260"/>
      <c r="O151" s="260"/>
      <c r="P151" s="261"/>
      <c r="Q151" s="244" t="s">
        <v>238</v>
      </c>
      <c r="R151" s="245"/>
      <c r="S151" s="245"/>
      <c r="T151" s="245"/>
      <c r="U151" s="246"/>
      <c r="V151" s="259"/>
      <c r="W151" s="260"/>
      <c r="X151" s="260"/>
      <c r="Y151" s="260"/>
      <c r="Z151" s="260"/>
      <c r="AA151" s="261"/>
      <c r="AB151" s="259"/>
      <c r="AC151" s="260"/>
      <c r="AD151" s="260"/>
      <c r="AE151" s="260"/>
      <c r="AF151" s="260"/>
      <c r="AG151" s="261"/>
      <c r="AH151" s="28"/>
    </row>
    <row r="152" spans="1:36" ht="15" customHeight="1" x14ac:dyDescent="0.15">
      <c r="B152" s="27"/>
      <c r="C152" s="244" t="s">
        <v>239</v>
      </c>
      <c r="D152" s="245"/>
      <c r="E152" s="246"/>
      <c r="F152" s="259"/>
      <c r="G152" s="260"/>
      <c r="H152" s="260"/>
      <c r="I152" s="260"/>
      <c r="J152" s="260"/>
      <c r="K152" s="261"/>
      <c r="L152" s="259"/>
      <c r="M152" s="260"/>
      <c r="N152" s="260"/>
      <c r="O152" s="260"/>
      <c r="P152" s="261"/>
      <c r="Q152" s="247"/>
      <c r="R152" s="248"/>
      <c r="S152" s="248"/>
      <c r="T152" s="248"/>
      <c r="U152" s="249"/>
      <c r="V152" s="259"/>
      <c r="W152" s="260"/>
      <c r="X152" s="260"/>
      <c r="Y152" s="260"/>
      <c r="Z152" s="260"/>
      <c r="AA152" s="261"/>
      <c r="AB152" s="259"/>
      <c r="AC152" s="260"/>
      <c r="AD152" s="260"/>
      <c r="AE152" s="260"/>
      <c r="AF152" s="260"/>
      <c r="AG152" s="261"/>
      <c r="AH152" s="28"/>
    </row>
    <row r="153" spans="1:36" customFormat="1" ht="6" customHeight="1" x14ac:dyDescent="0.15">
      <c r="A153" s="125"/>
      <c r="B153" s="163"/>
      <c r="AH153" s="164"/>
      <c r="AI153" s="55"/>
      <c r="AJ153" s="55"/>
    </row>
    <row r="154" spans="1:36" ht="15" customHeight="1" x14ac:dyDescent="0.15">
      <c r="A154" s="125"/>
      <c r="B154" s="27"/>
      <c r="C154" s="262" t="s">
        <v>240</v>
      </c>
      <c r="D154" s="263"/>
      <c r="E154" s="263"/>
      <c r="F154" s="263"/>
      <c r="G154" s="263"/>
      <c r="H154" s="263"/>
      <c r="I154" s="263"/>
      <c r="J154" s="263"/>
      <c r="K154" s="263"/>
      <c r="L154" s="264"/>
      <c r="M154" s="244" t="s">
        <v>242</v>
      </c>
      <c r="N154" s="245"/>
      <c r="O154" s="245"/>
      <c r="P154" s="246"/>
      <c r="Q154" s="244" t="s">
        <v>237</v>
      </c>
      <c r="R154" s="245"/>
      <c r="S154" s="245"/>
      <c r="T154" s="245"/>
      <c r="U154" s="246"/>
      <c r="V154" s="259"/>
      <c r="W154" s="260"/>
      <c r="X154" s="261"/>
      <c r="Y154" s="244" t="s">
        <v>247</v>
      </c>
      <c r="Z154" s="245"/>
      <c r="AA154" s="245"/>
      <c r="AB154" s="246"/>
      <c r="AC154" s="259"/>
      <c r="AD154" s="260"/>
      <c r="AE154" s="260"/>
      <c r="AF154" s="260"/>
      <c r="AG154" s="261"/>
      <c r="AH154" s="28"/>
    </row>
    <row r="155" spans="1:36" ht="15" customHeight="1" x14ac:dyDescent="0.15">
      <c r="A155" s="125"/>
      <c r="B155" s="27"/>
      <c r="C155" s="265"/>
      <c r="D155" s="266"/>
      <c r="E155" s="266"/>
      <c r="F155" s="266"/>
      <c r="G155" s="266"/>
      <c r="H155" s="266"/>
      <c r="I155" s="266"/>
      <c r="J155" s="266"/>
      <c r="K155" s="266"/>
      <c r="L155" s="267"/>
      <c r="M155" s="244" t="s">
        <v>241</v>
      </c>
      <c r="N155" s="245"/>
      <c r="O155" s="245"/>
      <c r="P155" s="246"/>
      <c r="Q155" s="244" t="s">
        <v>243</v>
      </c>
      <c r="R155" s="245"/>
      <c r="S155" s="245"/>
      <c r="T155" s="245"/>
      <c r="U155" s="246"/>
      <c r="V155" s="259"/>
      <c r="W155" s="260"/>
      <c r="X155" s="261"/>
      <c r="Y155" s="256" t="s">
        <v>244</v>
      </c>
      <c r="Z155" s="257"/>
      <c r="AA155" s="257"/>
      <c r="AB155" s="257"/>
      <c r="AC155" s="257"/>
      <c r="AD155" s="257"/>
      <c r="AE155" s="257"/>
      <c r="AF155" s="257"/>
      <c r="AG155" s="258"/>
      <c r="AH155" s="28"/>
    </row>
    <row r="156" spans="1:36" customFormat="1" ht="6" customHeight="1" x14ac:dyDescent="0.15">
      <c r="A156" s="125"/>
      <c r="B156" s="163"/>
      <c r="M156" s="3"/>
      <c r="N156" s="3"/>
      <c r="O156" s="3"/>
      <c r="P156" s="3"/>
      <c r="AH156" s="164"/>
      <c r="AI156" s="55"/>
      <c r="AJ156" s="55"/>
    </row>
    <row r="157" spans="1:36" ht="15" customHeight="1" x14ac:dyDescent="0.15">
      <c r="A157" s="125"/>
      <c r="B157" s="27"/>
      <c r="C157" s="252" t="s">
        <v>245</v>
      </c>
      <c r="D157" s="253"/>
      <c r="E157" s="253"/>
      <c r="F157" s="253"/>
      <c r="G157" s="253"/>
      <c r="H157" s="253"/>
      <c r="I157" s="253"/>
      <c r="J157" s="253"/>
      <c r="K157" s="253"/>
      <c r="L157" s="254"/>
      <c r="M157" s="255" t="s">
        <v>232</v>
      </c>
      <c r="N157" s="255"/>
      <c r="O157" s="255"/>
      <c r="P157" s="255"/>
      <c r="Q157" s="259"/>
      <c r="R157" s="260"/>
      <c r="S157" s="260"/>
      <c r="T157" s="260"/>
      <c r="U157" s="260"/>
      <c r="V157" s="260"/>
      <c r="W157" s="260"/>
      <c r="X157" s="261"/>
      <c r="Y157" s="244" t="s">
        <v>303</v>
      </c>
      <c r="Z157" s="245"/>
      <c r="AA157" s="245"/>
      <c r="AB157" s="246"/>
      <c r="AC157" s="259"/>
      <c r="AD157" s="260"/>
      <c r="AE157" s="260"/>
      <c r="AF157" s="260"/>
      <c r="AG157" s="261"/>
      <c r="AH157" s="28"/>
    </row>
    <row r="158" spans="1:36" customFormat="1" ht="6" customHeight="1" x14ac:dyDescent="0.15">
      <c r="A158" s="125"/>
      <c r="B158" s="163"/>
      <c r="AH158" s="164"/>
      <c r="AI158" s="55"/>
      <c r="AJ158" s="55"/>
    </row>
    <row r="159" spans="1:36" ht="15" customHeight="1" x14ac:dyDescent="0.15">
      <c r="A159" s="125"/>
      <c r="B159" s="27"/>
      <c r="C159" s="250" t="s">
        <v>246</v>
      </c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8"/>
    </row>
    <row r="160" spans="1:36" ht="15" customHeight="1" x14ac:dyDescent="0.15">
      <c r="B160" s="27"/>
      <c r="C160" s="247" t="s">
        <v>248</v>
      </c>
      <c r="D160" s="248"/>
      <c r="E160" s="248"/>
      <c r="F160" s="248"/>
      <c r="G160" s="249"/>
      <c r="H160" s="147"/>
      <c r="I160" s="247" t="s">
        <v>254</v>
      </c>
      <c r="J160" s="248"/>
      <c r="K160" s="248"/>
      <c r="L160" s="248"/>
      <c r="M160" s="248"/>
      <c r="N160" s="249"/>
      <c r="O160" s="247"/>
      <c r="P160" s="249"/>
      <c r="Q160" s="123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24"/>
      <c r="AH160" s="28"/>
    </row>
    <row r="161" spans="2:34" ht="15" customHeight="1" x14ac:dyDescent="0.15">
      <c r="B161" s="27"/>
      <c r="C161" s="247" t="s">
        <v>249</v>
      </c>
      <c r="D161" s="248"/>
      <c r="E161" s="248"/>
      <c r="F161" s="248"/>
      <c r="G161" s="249"/>
      <c r="H161" s="147"/>
      <c r="I161" s="247" t="s">
        <v>255</v>
      </c>
      <c r="J161" s="248"/>
      <c r="K161" s="248"/>
      <c r="L161" s="248"/>
      <c r="M161" s="248"/>
      <c r="N161" s="249"/>
      <c r="O161" s="247"/>
      <c r="P161" s="249"/>
      <c r="Q161" s="27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28"/>
      <c r="AH161" s="28"/>
    </row>
    <row r="162" spans="2:34" ht="15" customHeight="1" x14ac:dyDescent="0.15">
      <c r="B162" s="27"/>
      <c r="C162" s="247" t="s">
        <v>250</v>
      </c>
      <c r="D162" s="248"/>
      <c r="E162" s="248"/>
      <c r="F162" s="248"/>
      <c r="G162" s="249"/>
      <c r="H162" s="147"/>
      <c r="I162" s="247" t="s">
        <v>256</v>
      </c>
      <c r="J162" s="248"/>
      <c r="K162" s="248"/>
      <c r="L162" s="248"/>
      <c r="M162" s="248"/>
      <c r="N162" s="249"/>
      <c r="O162" s="247"/>
      <c r="P162" s="249"/>
      <c r="Q162" s="27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28"/>
      <c r="AH162" s="28"/>
    </row>
    <row r="163" spans="2:34" ht="15" customHeight="1" x14ac:dyDescent="0.15">
      <c r="B163" s="27"/>
      <c r="C163" s="247" t="s">
        <v>251</v>
      </c>
      <c r="D163" s="248"/>
      <c r="E163" s="248"/>
      <c r="F163" s="248"/>
      <c r="G163" s="249"/>
      <c r="H163" s="147"/>
      <c r="I163" s="247" t="s">
        <v>257</v>
      </c>
      <c r="J163" s="248"/>
      <c r="K163" s="248"/>
      <c r="L163" s="248"/>
      <c r="M163" s="248"/>
      <c r="N163" s="249"/>
      <c r="O163" s="247"/>
      <c r="P163" s="249"/>
      <c r="Q163" s="27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28"/>
      <c r="AH163" s="28"/>
    </row>
    <row r="164" spans="2:34" ht="15" customHeight="1" x14ac:dyDescent="0.15">
      <c r="B164" s="27"/>
      <c r="C164" s="247" t="s">
        <v>252</v>
      </c>
      <c r="D164" s="248"/>
      <c r="E164" s="248"/>
      <c r="F164" s="248"/>
      <c r="G164" s="249"/>
      <c r="H164" s="147"/>
      <c r="I164" s="247" t="s">
        <v>258</v>
      </c>
      <c r="J164" s="248"/>
      <c r="K164" s="248"/>
      <c r="L164" s="248"/>
      <c r="M164" s="248"/>
      <c r="N164" s="249"/>
      <c r="O164" s="247"/>
      <c r="P164" s="249"/>
      <c r="Q164" s="27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28"/>
      <c r="AH164" s="28"/>
    </row>
    <row r="165" spans="2:34" ht="15" customHeight="1" x14ac:dyDescent="0.15">
      <c r="B165" s="27"/>
      <c r="C165" s="247" t="s">
        <v>253</v>
      </c>
      <c r="D165" s="248"/>
      <c r="E165" s="248"/>
      <c r="F165" s="248"/>
      <c r="G165" s="249"/>
      <c r="H165" s="147"/>
      <c r="I165" s="247"/>
      <c r="J165" s="248"/>
      <c r="K165" s="248"/>
      <c r="L165" s="248"/>
      <c r="M165" s="248"/>
      <c r="N165" s="249"/>
      <c r="O165" s="247"/>
      <c r="P165" s="249"/>
      <c r="Q165" s="27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28"/>
      <c r="AH165" s="28"/>
    </row>
    <row r="166" spans="2:34" ht="15" customHeight="1" x14ac:dyDescent="0.15">
      <c r="B166" s="27"/>
      <c r="C166" s="247"/>
      <c r="D166" s="248"/>
      <c r="E166" s="248"/>
      <c r="F166" s="248"/>
      <c r="G166" s="249"/>
      <c r="H166" s="147"/>
      <c r="I166" s="247" t="s">
        <v>299</v>
      </c>
      <c r="J166" s="248"/>
      <c r="K166" s="248"/>
      <c r="L166" s="248"/>
      <c r="M166" s="248"/>
      <c r="N166" s="249"/>
      <c r="O166" s="247"/>
      <c r="P166" s="249"/>
      <c r="Q166" s="105"/>
      <c r="R166" s="149" t="s">
        <v>276</v>
      </c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07"/>
      <c r="AH166" s="28"/>
    </row>
    <row r="167" spans="2:34" ht="15" customHeight="1" x14ac:dyDescent="0.15">
      <c r="B167" s="27"/>
      <c r="C167" s="148" t="s">
        <v>259</v>
      </c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24"/>
      <c r="Q167" s="123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24"/>
      <c r="AH167" s="28"/>
    </row>
    <row r="168" spans="2:34" ht="15" customHeight="1" x14ac:dyDescent="0.15">
      <c r="B168" s="27"/>
      <c r="C168" s="27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28"/>
      <c r="Q168" s="27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28"/>
      <c r="AH168" s="28"/>
    </row>
    <row r="169" spans="2:34" ht="15" customHeight="1" x14ac:dyDescent="0.15">
      <c r="B169" s="27"/>
      <c r="C169" s="27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28"/>
      <c r="Q169" s="27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28"/>
      <c r="AH169" s="28"/>
    </row>
    <row r="170" spans="2:34" ht="15" customHeight="1" x14ac:dyDescent="0.15">
      <c r="B170" s="27"/>
      <c r="C170" s="27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28"/>
      <c r="Q170" s="27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28"/>
      <c r="AH170" s="28"/>
    </row>
    <row r="171" spans="2:34" ht="15" customHeight="1" x14ac:dyDescent="0.15">
      <c r="B171" s="27"/>
      <c r="C171" s="27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28"/>
      <c r="Q171" s="27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28"/>
      <c r="AH171" s="28"/>
    </row>
    <row r="172" spans="2:34" ht="15" customHeight="1" x14ac:dyDescent="0.15">
      <c r="B172" s="27"/>
      <c r="C172" s="27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28"/>
      <c r="Q172" s="27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28"/>
      <c r="AH172" s="28"/>
    </row>
    <row r="173" spans="2:34" ht="15" customHeight="1" x14ac:dyDescent="0.15">
      <c r="B173" s="27"/>
      <c r="C173" s="27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28"/>
      <c r="Q173" s="27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28"/>
      <c r="AH173" s="28"/>
    </row>
    <row r="174" spans="2:34" ht="15" customHeight="1" x14ac:dyDescent="0.15">
      <c r="B174" s="27"/>
      <c r="C174" s="105"/>
      <c r="D174" s="146"/>
      <c r="E174" s="146"/>
      <c r="F174" s="146"/>
      <c r="G174" s="149"/>
      <c r="H174" s="146"/>
      <c r="I174" s="146"/>
      <c r="J174" s="146"/>
      <c r="K174" s="146"/>
      <c r="L174" s="146"/>
      <c r="M174" s="146"/>
      <c r="N174" s="146"/>
      <c r="O174" s="146"/>
      <c r="P174" s="107"/>
      <c r="Q174" s="105"/>
      <c r="R174" s="149" t="s">
        <v>260</v>
      </c>
      <c r="S174" s="149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07"/>
      <c r="AH174" s="28"/>
    </row>
    <row r="175" spans="2:34" ht="15" customHeight="1" x14ac:dyDescent="0.15">
      <c r="B175" s="105"/>
      <c r="C175" s="146"/>
      <c r="D175" s="146"/>
      <c r="E175" s="146"/>
      <c r="F175" s="146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07"/>
    </row>
    <row r="176" spans="2:3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</sheetData>
  <sheetProtection algorithmName="SHA-512" hashValue="f6KzgnrTZiC5xFObyO69s31XPqqHS6OfuC3GtuFQqvYncbVpg3n99pQI6VZnrOe/eLcVxIqPDzY5SWDohxwXwg==" saltValue="Fdduoi+7A5Xm9PWmcrl6fg==" spinCount="100000" sheet="1" objects="1" scenarios="1"/>
  <mergeCells count="256">
    <mergeCell ref="C129:AG129"/>
    <mergeCell ref="Z119:AC124"/>
    <mergeCell ref="C78:F82"/>
    <mergeCell ref="D75:F76"/>
    <mergeCell ref="C75:C76"/>
    <mergeCell ref="L108:Y108"/>
    <mergeCell ref="Q60:V62"/>
    <mergeCell ref="Z89:AG89"/>
    <mergeCell ref="K78:M82"/>
    <mergeCell ref="C113:X113"/>
    <mergeCell ref="C121:F124"/>
    <mergeCell ref="C117:F119"/>
    <mergeCell ref="K75:AB76"/>
    <mergeCell ref="C127:AG127"/>
    <mergeCell ref="C135:P135"/>
    <mergeCell ref="Q135:Y135"/>
    <mergeCell ref="Z135:AG135"/>
    <mergeCell ref="Q138:Y138"/>
    <mergeCell ref="Z138:AG138"/>
    <mergeCell ref="V36:AE36"/>
    <mergeCell ref="AF36:AG36"/>
    <mergeCell ref="V45:AE45"/>
    <mergeCell ref="AF45:AG45"/>
    <mergeCell ref="AF44:AG44"/>
    <mergeCell ref="AD48:AG48"/>
    <mergeCell ref="AD49:AF49"/>
    <mergeCell ref="AD40:AF40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C87:Q91"/>
    <mergeCell ref="R84:Y85"/>
    <mergeCell ref="Y69:Z7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14:X115"/>
    <mergeCell ref="Z114:AG115"/>
    <mergeCell ref="Z117:AC118"/>
    <mergeCell ref="G108:J108"/>
    <mergeCell ref="C137:L139"/>
    <mergeCell ref="Q137:Y137"/>
    <mergeCell ref="Z137:AG137"/>
    <mergeCell ref="Q139:Y139"/>
    <mergeCell ref="Z139:AG139"/>
    <mergeCell ref="M137:P137"/>
    <mergeCell ref="M138:P138"/>
    <mergeCell ref="Q131:Y131"/>
    <mergeCell ref="Z131:AG131"/>
    <mergeCell ref="J49:P49"/>
    <mergeCell ref="V42:AG42"/>
    <mergeCell ref="D42:H42"/>
    <mergeCell ref="Q67:AG68"/>
    <mergeCell ref="C58:I58"/>
    <mergeCell ref="N78:Q82"/>
    <mergeCell ref="R79:U82"/>
    <mergeCell ref="C73:AG73"/>
    <mergeCell ref="C64:AG64"/>
    <mergeCell ref="AA59:AG59"/>
    <mergeCell ref="J57:M57"/>
    <mergeCell ref="N59:P59"/>
    <mergeCell ref="S69:V70"/>
    <mergeCell ref="AA69:AF70"/>
    <mergeCell ref="E68:P68"/>
    <mergeCell ref="C66:AG66"/>
    <mergeCell ref="E60:I60"/>
    <mergeCell ref="C35:C42"/>
    <mergeCell ref="Q40:X40"/>
    <mergeCell ref="I42:M42"/>
    <mergeCell ref="I71:P71"/>
    <mergeCell ref="E69:P69"/>
    <mergeCell ref="D51:H51"/>
    <mergeCell ref="D49:I49"/>
    <mergeCell ref="D40:I40"/>
    <mergeCell ref="V38:AG38"/>
    <mergeCell ref="L36:U36"/>
    <mergeCell ref="J40:P40"/>
    <mergeCell ref="D38:P38"/>
    <mergeCell ref="C32:AG32"/>
    <mergeCell ref="AD39:AG39"/>
    <mergeCell ref="Q38:U38"/>
    <mergeCell ref="D36:K36"/>
    <mergeCell ref="Y40:AC40"/>
    <mergeCell ref="AF35:AG35"/>
    <mergeCell ref="V25:Z27"/>
    <mergeCell ref="C22:P23"/>
    <mergeCell ref="L12:Y12"/>
    <mergeCell ref="L15:Y15"/>
    <mergeCell ref="L14:Y14"/>
    <mergeCell ref="Z18:AG19"/>
    <mergeCell ref="C24:P25"/>
    <mergeCell ref="R21:AG21"/>
    <mergeCell ref="AE23:AG24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N42:U42"/>
    <mergeCell ref="N57:P57"/>
    <mergeCell ref="C71:D71"/>
    <mergeCell ref="J58:M58"/>
    <mergeCell ref="W69:X70"/>
    <mergeCell ref="C44:C51"/>
    <mergeCell ref="D45:K45"/>
    <mergeCell ref="N51:U51"/>
    <mergeCell ref="V47:AG47"/>
    <mergeCell ref="L45:U45"/>
    <mergeCell ref="I51:M51"/>
    <mergeCell ref="Y49:AC49"/>
    <mergeCell ref="W60:Z62"/>
    <mergeCell ref="J62:P62"/>
    <mergeCell ref="C62:I62"/>
    <mergeCell ref="N58:P58"/>
    <mergeCell ref="AA57:AG57"/>
    <mergeCell ref="AA58:AG58"/>
    <mergeCell ref="W59:Z59"/>
    <mergeCell ref="Q57:Z58"/>
    <mergeCell ref="D47:P47"/>
    <mergeCell ref="Q49:X49"/>
    <mergeCell ref="Q56:Z56"/>
    <mergeCell ref="J56:P56"/>
    <mergeCell ref="V51:AG51"/>
    <mergeCell ref="C53:AG53"/>
    <mergeCell ref="C56:I56"/>
    <mergeCell ref="Q47:U47"/>
    <mergeCell ref="AA56:AG56"/>
    <mergeCell ref="C132:P132"/>
    <mergeCell ref="C134:P134"/>
    <mergeCell ref="Q134:Y134"/>
    <mergeCell ref="Z134:AG134"/>
    <mergeCell ref="Q132:R132"/>
    <mergeCell ref="Z132:AA132"/>
    <mergeCell ref="S132:Y132"/>
    <mergeCell ref="Q55:AG55"/>
    <mergeCell ref="Q59:V59"/>
    <mergeCell ref="V78:AB82"/>
    <mergeCell ref="G78:J82"/>
    <mergeCell ref="AC75:AG76"/>
    <mergeCell ref="C59:D59"/>
    <mergeCell ref="E59:I59"/>
    <mergeCell ref="C60:D60"/>
    <mergeCell ref="E67:P67"/>
    <mergeCell ref="C131:P131"/>
    <mergeCell ref="C84:Q86"/>
    <mergeCell ref="D130:AF130"/>
    <mergeCell ref="M144:P144"/>
    <mergeCell ref="Q144:Y144"/>
    <mergeCell ref="M142:P142"/>
    <mergeCell ref="Q142:Y142"/>
    <mergeCell ref="Z142:AG142"/>
    <mergeCell ref="C141:L143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5" type="noConversion"/>
  <conditionalFormatting sqref="D36:K36">
    <cfRule type="expression" dxfId="29" priority="4" stopIfTrue="1">
      <formula>Blanco=TRUE</formula>
    </cfRule>
    <cfRule type="expression" dxfId="28" priority="5" stopIfTrue="1">
      <formula>$D36=""</formula>
    </cfRule>
  </conditionalFormatting>
  <conditionalFormatting sqref="AC60:AG61 AB61">
    <cfRule type="expression" dxfId="27" priority="6" stopIfTrue="1">
      <formula>Trofeo10=TRUE</formula>
    </cfRule>
  </conditionalFormatting>
  <conditionalFormatting sqref="D47:AG47 I42:AG42 J56 H55:I55 H57:I57 AC78:AG82 I71:P71 Q69:R71 E71:F71 S71:AF71 C62:C63 E67:P70 Q56 D38:AG38 I51:AG51 AD40 D40:P40 D49:P49 H61:I61 O61 AG40">
    <cfRule type="expression" dxfId="26" priority="7" stopIfTrue="1">
      <formula>Blanco=TRUE</formula>
    </cfRule>
  </conditionalFormatting>
  <conditionalFormatting sqref="AE25:AG30 AA25 AE119:AG124">
    <cfRule type="expression" dxfId="25" priority="8" stopIfTrue="1">
      <formula>$L$15="40 Rallye de Ourense"</formula>
    </cfRule>
  </conditionalFormatting>
  <conditionalFormatting sqref="O9">
    <cfRule type="expression" dxfId="24" priority="9" stopIfTrue="1">
      <formula>Blanco=TRUE</formula>
    </cfRule>
  </conditionalFormatting>
  <conditionalFormatting sqref="B9 B8:O8">
    <cfRule type="expression" dxfId="23" priority="10" stopIfTrue="1">
      <formula>Blanco=TRUE</formula>
    </cfRule>
  </conditionalFormatting>
  <conditionalFormatting sqref="S69:AF70 G78">
    <cfRule type="expression" dxfId="22" priority="11" stopIfTrue="1">
      <formula>Blanco=TRUE</formula>
    </cfRule>
    <cfRule type="cellIs" dxfId="21" priority="12" stopIfTrue="1" operator="equal">
      <formula>""</formula>
    </cfRule>
  </conditionalFormatting>
  <conditionalFormatting sqref="W60:Z62">
    <cfRule type="expression" dxfId="20" priority="13" stopIfTrue="1">
      <formula>Blanco=TRUE</formula>
    </cfRule>
    <cfRule type="expression" priority="14" stopIfTrue="1">
      <formula>Campeonato=TRUE</formula>
    </cfRule>
  </conditionalFormatting>
  <conditionalFormatting sqref="Q57:Z58">
    <cfRule type="expression" dxfId="19" priority="15" stopIfTrue="1">
      <formula>Blanco=TRUE</formula>
    </cfRule>
    <cfRule type="expression" dxfId="18" priority="16" stopIfTrue="1">
      <formula>Campeonato=2</formula>
    </cfRule>
  </conditionalFormatting>
  <conditionalFormatting sqref="C78:F82">
    <cfRule type="expression" dxfId="17" priority="17" stopIfTrue="1">
      <formula>Blanco=TRUE</formula>
    </cfRule>
  </conditionalFormatting>
  <conditionalFormatting sqref="C60 J62:P62 E60">
    <cfRule type="expression" dxfId="16" priority="18" stopIfTrue="1">
      <formula>Blanco=TRUE</formula>
    </cfRule>
    <cfRule type="cellIs" dxfId="15" priority="19" stopIfTrue="1" operator="equal">
      <formula xml:space="preserve"> ""</formula>
    </cfRule>
  </conditionalFormatting>
  <conditionalFormatting sqref="L36:V36 Q40:AC40 D42:H42 D45:V45 D51:H51 Q49:AC49 AF36 AF45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56:I56 C58:I58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0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58:P58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58:AG58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49">
    <cfRule type="expression" dxfId="1" priority="2" stopIfTrue="1">
      <formula>Blanco=TRUE</formula>
    </cfRule>
  </conditionalFormatting>
  <conditionalFormatting sqref="AD49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37:Y137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cellWatches>
    <cellWatch r="I2"/>
  </cellWatche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101600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12700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L1" workbookViewId="0">
      <selection activeCell="E28" sqref="E28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21.1640625" bestFit="1" customWidth="1"/>
    <col min="13" max="13" width="21.1640625" customWidth="1"/>
    <col min="14" max="14" width="9.83203125" bestFit="1" customWidth="1"/>
    <col min="15" max="15" width="7.832031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83203125" bestFit="1" customWidth="1"/>
    <col min="20" max="20" width="17" customWidth="1"/>
    <col min="21" max="21" width="5.83203125" customWidth="1"/>
    <col min="22" max="22" width="11.6640625" customWidth="1"/>
    <col min="23" max="23" width="8" bestFit="1" customWidth="1"/>
    <col min="24" max="32" width="11.83203125" customWidth="1"/>
  </cols>
  <sheetData>
    <row r="1" spans="1:32" ht="35.25" customHeight="1" x14ac:dyDescent="0.15">
      <c r="A1" s="619" t="s">
        <v>325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</row>
    <row r="2" spans="1:32" s="218" customFormat="1" ht="26.25" customHeight="1" x14ac:dyDescent="0.15">
      <c r="A2" s="215" t="s">
        <v>24</v>
      </c>
      <c r="B2" s="215" t="s">
        <v>326</v>
      </c>
      <c r="C2" s="215" t="s">
        <v>327</v>
      </c>
      <c r="D2" s="215" t="s">
        <v>184</v>
      </c>
      <c r="E2" s="215" t="s">
        <v>348</v>
      </c>
      <c r="F2" s="215" t="s">
        <v>328</v>
      </c>
      <c r="G2" s="215" t="s">
        <v>329</v>
      </c>
      <c r="H2" s="215" t="s">
        <v>330</v>
      </c>
      <c r="I2" s="215" t="s">
        <v>324</v>
      </c>
      <c r="J2" s="215" t="s">
        <v>331</v>
      </c>
      <c r="K2" s="216" t="s">
        <v>332</v>
      </c>
      <c r="L2" s="215" t="s">
        <v>224</v>
      </c>
      <c r="M2" s="215" t="s">
        <v>348</v>
      </c>
      <c r="N2" s="215" t="s">
        <v>333</v>
      </c>
      <c r="O2" s="215" t="s">
        <v>329</v>
      </c>
      <c r="P2" s="215" t="s">
        <v>330</v>
      </c>
      <c r="Q2" s="215" t="s">
        <v>324</v>
      </c>
      <c r="R2" s="215" t="s">
        <v>334</v>
      </c>
      <c r="S2" s="216" t="s">
        <v>332</v>
      </c>
      <c r="T2" s="215" t="s">
        <v>335</v>
      </c>
      <c r="U2" s="215" t="s">
        <v>336</v>
      </c>
      <c r="V2" s="215" t="s">
        <v>347</v>
      </c>
      <c r="W2" s="215" t="s">
        <v>337</v>
      </c>
      <c r="X2" s="215" t="s">
        <v>338</v>
      </c>
      <c r="Y2" s="215" t="s">
        <v>339</v>
      </c>
      <c r="Z2" s="215" t="s">
        <v>340</v>
      </c>
      <c r="AA2" s="215" t="s">
        <v>341</v>
      </c>
      <c r="AB2" s="217" t="s">
        <v>342</v>
      </c>
      <c r="AC2" s="217" t="s">
        <v>343</v>
      </c>
      <c r="AD2" s="217" t="s">
        <v>344</v>
      </c>
      <c r="AE2" s="217" t="s">
        <v>345</v>
      </c>
      <c r="AF2" s="215" t="s">
        <v>346</v>
      </c>
    </row>
    <row r="3" spans="1:32" x14ac:dyDescent="0.15">
      <c r="B3" t="e">
        <f>' Boletín de Inscripción '!#REF!</f>
        <v>#REF!</v>
      </c>
      <c r="C3" t="e">
        <f>CONCATENATE(' Boletín de Inscripción '!#REF!," ",' Boletín de Inscripción '!#REF!)</f>
        <v>#REF!</v>
      </c>
      <c r="D3" t="str">
        <f>CONCATENATE(' Boletín de Inscripción '!D36," ",' Boletín de Inscripción '!L36," ",' Boletín de Inscripción '!V36)</f>
        <v xml:space="preserve">  </v>
      </c>
      <c r="E3">
        <f>' Boletín de Inscripción '!V42</f>
        <v>0</v>
      </c>
      <c r="F3">
        <f>' Boletín de Inscripción '!Q40</f>
        <v>0</v>
      </c>
      <c r="G3" s="219">
        <f>' Boletín de Inscripción '!AD40</f>
        <v>0</v>
      </c>
      <c r="H3" t="str">
        <f>' Boletín de Inscripción '!AG40</f>
        <v/>
      </c>
      <c r="I3">
        <f>' Boletín de Inscripción '!AF36</f>
        <v>0</v>
      </c>
      <c r="J3">
        <f>' Boletín de Inscripción '!Y40</f>
        <v>0</v>
      </c>
      <c r="K3">
        <f>' Boletín de Inscripción '!D42</f>
        <v>0</v>
      </c>
      <c r="L3" t="str">
        <f>CONCATENATE(' Boletín de Inscripción '!D45," ",' Boletín de Inscripción '!L45," ",' Boletín de Inscripción '!V45)</f>
        <v xml:space="preserve">  </v>
      </c>
      <c r="M3">
        <f>' Boletín de Inscripción '!V51</f>
        <v>0</v>
      </c>
      <c r="N3">
        <f>' Boletín de Inscripción '!Q49</f>
        <v>0</v>
      </c>
      <c r="O3" s="219">
        <f>' Boletín de Inscripción '!AD49</f>
        <v>0</v>
      </c>
      <c r="P3" t="str">
        <f>' Boletín de Inscripción '!AG49</f>
        <v/>
      </c>
      <c r="Q3">
        <f>' Boletín de Inscripción '!AF45</f>
        <v>0</v>
      </c>
      <c r="R3">
        <f>' Boletín de Inscripción '!Y49</f>
        <v>0</v>
      </c>
      <c r="S3">
        <f>' Boletín de Inscripción '!D51</f>
        <v>0</v>
      </c>
      <c r="T3" t="str">
        <f>CONCATENATE(' Boletín de Inscripción '!C56," ",' Boletín de Inscripción '!C58)</f>
        <v xml:space="preserve"> </v>
      </c>
      <c r="U3">
        <f>CILINDRADA</f>
        <v>0</v>
      </c>
      <c r="V3">
        <f>cc</f>
        <v>0</v>
      </c>
      <c r="W3">
        <f>' Boletín de Inscripción '!E60</f>
        <v>0</v>
      </c>
      <c r="X3" t="str">
        <f>' Boletín de Inscripción '!Q57</f>
        <v/>
      </c>
      <c r="Y3" t="str">
        <f>' Boletín de Inscripción '!Q60</f>
        <v/>
      </c>
      <c r="Z3" t="str">
        <f>' Boletín de Inscripción '!W60</f>
        <v/>
      </c>
      <c r="AA3">
        <f>' Boletín de Inscripción '!AA58</f>
        <v>0</v>
      </c>
      <c r="AB3">
        <f>' Boletín de Inscripción '!J62</f>
        <v>0</v>
      </c>
      <c r="AC3" t="b">
        <f>' Boletín de Inscripción '!$AG$107</f>
        <v>1</v>
      </c>
      <c r="AD3" t="b">
        <v>0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 x14ac:dyDescent="0.15"/>
  <cols>
    <col min="1" max="1" width="11.6640625" style="65" bestFit="1" customWidth="1"/>
    <col min="2" max="2" width="10.5" style="65" bestFit="1" customWidth="1"/>
    <col min="3" max="3" width="10.6640625" style="65" bestFit="1" customWidth="1"/>
    <col min="4" max="4" width="15.33203125" style="65" bestFit="1" customWidth="1"/>
    <col min="5" max="5" width="19.83203125" style="65" bestFit="1" customWidth="1"/>
    <col min="6" max="6" width="21.83203125" style="65" bestFit="1" customWidth="1"/>
    <col min="7" max="7" width="27.5" style="65" bestFit="1" customWidth="1"/>
    <col min="8" max="8" width="18.83203125" style="65" bestFit="1" customWidth="1"/>
    <col min="9" max="9" width="15.5" style="65" bestFit="1" customWidth="1"/>
    <col min="10" max="10" width="14" style="65" bestFit="1" customWidth="1"/>
    <col min="11" max="11" width="21.83203125" style="65" bestFit="1" customWidth="1"/>
    <col min="12" max="12" width="18.83203125" style="65" customWidth="1"/>
    <col min="13" max="13" width="16.6640625" style="65" bestFit="1" customWidth="1"/>
    <col min="14" max="14" width="16.5" style="65" bestFit="1" customWidth="1"/>
    <col min="15" max="16" width="17" style="65" bestFit="1" customWidth="1"/>
    <col min="17" max="17" width="12.5" style="65" bestFit="1" customWidth="1"/>
    <col min="18" max="18" width="13.5" style="65" bestFit="1" customWidth="1"/>
    <col min="19" max="19" width="10" style="65" bestFit="1" customWidth="1"/>
    <col min="20" max="20" width="14.5" style="65" bestFit="1" customWidth="1"/>
    <col min="21" max="21" width="16.5" style="65" bestFit="1" customWidth="1"/>
    <col min="22" max="22" width="23.6640625" style="65" customWidth="1"/>
    <col min="23" max="23" width="13.5" style="65" bestFit="1" customWidth="1"/>
    <col min="24" max="24" width="10.5" style="65" bestFit="1" customWidth="1"/>
    <col min="25" max="25" width="8.6640625" style="65" bestFit="1" customWidth="1"/>
    <col min="26" max="26" width="16.33203125" style="65" customWidth="1"/>
    <col min="27" max="27" width="13.5" style="65" bestFit="1" customWidth="1"/>
    <col min="28" max="28" width="11.33203125" style="65" bestFit="1" customWidth="1"/>
    <col min="29" max="29" width="14.1640625" style="65" bestFit="1" customWidth="1"/>
    <col min="30" max="31" width="11.5" style="65" bestFit="1" customWidth="1"/>
    <col min="32" max="32" width="7.33203125" style="65" bestFit="1" customWidth="1"/>
    <col min="33" max="33" width="8.1640625" style="65" bestFit="1" customWidth="1"/>
    <col min="34" max="34" width="11.83203125" style="65" bestFit="1" customWidth="1"/>
    <col min="35" max="35" width="18" style="65" bestFit="1" customWidth="1"/>
    <col min="36" max="36" width="18.33203125" style="65" bestFit="1" customWidth="1"/>
    <col min="37" max="37" width="29.1640625" style="65" bestFit="1" customWidth="1"/>
    <col min="38" max="38" width="15.33203125" style="65" bestFit="1" customWidth="1"/>
    <col min="39" max="39" width="12.33203125" style="65" bestFit="1" customWidth="1"/>
    <col min="40" max="40" width="10.5" style="65" bestFit="1" customWidth="1"/>
    <col min="41" max="41" width="13" style="65" bestFit="1" customWidth="1"/>
    <col min="42" max="42" width="15.5" style="65" bestFit="1" customWidth="1"/>
    <col min="43" max="43" width="13.1640625" style="65" bestFit="1" customWidth="1"/>
    <col min="44" max="44" width="16.5" style="65" bestFit="1" customWidth="1"/>
    <col min="45" max="46" width="13.5" style="65" bestFit="1" customWidth="1"/>
    <col min="47" max="47" width="9.1640625" style="65" bestFit="1" customWidth="1"/>
    <col min="48" max="48" width="10" style="65" bestFit="1" customWidth="1"/>
    <col min="49" max="49" width="9.1640625" style="65" bestFit="1" customWidth="1"/>
    <col min="50" max="50" width="11.6640625" style="65" bestFit="1" customWidth="1"/>
    <col min="51" max="51" width="10.33203125" style="65" customWidth="1"/>
    <col min="52" max="52" width="7.83203125" style="65" bestFit="1" customWidth="1"/>
    <col min="53" max="53" width="14.33203125" style="65" bestFit="1" customWidth="1"/>
    <col min="54" max="54" width="5.5" style="65" bestFit="1" customWidth="1"/>
    <col min="55" max="55" width="5.1640625" style="65" bestFit="1" customWidth="1"/>
    <col min="56" max="56" width="12" style="65" bestFit="1" customWidth="1"/>
    <col min="57" max="62" width="7.5" style="65" bestFit="1" customWidth="1"/>
    <col min="63" max="65" width="7.33203125" style="65" bestFit="1" customWidth="1"/>
    <col min="66" max="66" width="7.83203125" style="65" bestFit="1" customWidth="1"/>
    <col min="67" max="67" width="9.33203125" style="65" bestFit="1" customWidth="1"/>
    <col min="68" max="68" width="8.83203125" style="65" bestFit="1" customWidth="1"/>
    <col min="69" max="69" width="5.33203125" style="65" bestFit="1" customWidth="1"/>
    <col min="70" max="70" width="11.33203125" style="65" bestFit="1" customWidth="1"/>
    <col min="71" max="71" width="17" style="65" bestFit="1" customWidth="1"/>
    <col min="72" max="72" width="6.5" style="65" bestFit="1" customWidth="1"/>
    <col min="73" max="73" width="6" style="65" bestFit="1" customWidth="1"/>
    <col min="74" max="74" width="6.5" style="65" bestFit="1" customWidth="1"/>
    <col min="75" max="75" width="6.1640625" style="65" bestFit="1" customWidth="1"/>
    <col min="76" max="76" width="6.6640625" style="65" bestFit="1" customWidth="1"/>
    <col min="77" max="77" width="6.1640625" style="65" bestFit="1" customWidth="1"/>
    <col min="78" max="78" width="9.6640625" style="65" bestFit="1" customWidth="1"/>
    <col min="79" max="79" width="12.83203125" style="65" bestFit="1" customWidth="1"/>
    <col min="80" max="80" width="14.6640625" style="65" bestFit="1" customWidth="1"/>
    <col min="81" max="81" width="7.5" style="65" bestFit="1" customWidth="1"/>
    <col min="82" max="82" width="9.5" style="65" bestFit="1" customWidth="1"/>
    <col min="83" max="83" width="9.6640625" style="65" bestFit="1" customWidth="1"/>
    <col min="84" max="84" width="12.83203125" style="65" bestFit="1" customWidth="1"/>
    <col min="85" max="85" width="14.6640625" style="65" bestFit="1" customWidth="1"/>
    <col min="86" max="86" width="7.5" style="65" bestFit="1" customWidth="1"/>
    <col min="87" max="87" width="9.5" style="65" bestFit="1" customWidth="1"/>
    <col min="88" max="88" width="9.6640625" style="65" bestFit="1" customWidth="1"/>
    <col min="89" max="89" width="12.83203125" style="65" bestFit="1" customWidth="1"/>
    <col min="90" max="90" width="14.6640625" style="65" bestFit="1" customWidth="1"/>
    <col min="91" max="91" width="7.5" style="65" bestFit="1" customWidth="1"/>
    <col min="92" max="92" width="9.5" style="65" bestFit="1" customWidth="1"/>
    <col min="93" max="93" width="9.6640625" style="65" bestFit="1" customWidth="1"/>
    <col min="94" max="94" width="12.83203125" style="65" bestFit="1" customWidth="1"/>
    <col min="95" max="95" width="14.6640625" style="65" bestFit="1" customWidth="1"/>
    <col min="96" max="96" width="7.5" style="65" bestFit="1" customWidth="1"/>
    <col min="97" max="97" width="9.5" style="65" bestFit="1" customWidth="1"/>
    <col min="98" max="98" width="9.6640625" style="65" bestFit="1" customWidth="1"/>
    <col min="99" max="99" width="12.83203125" style="65" bestFit="1" customWidth="1"/>
    <col min="100" max="100" width="14.6640625" style="65" bestFit="1" customWidth="1"/>
    <col min="101" max="101" width="7.5" style="65" bestFit="1" customWidth="1"/>
    <col min="102" max="102" width="9.5" style="65" bestFit="1" customWidth="1"/>
    <col min="103" max="103" width="9.6640625" style="65" bestFit="1" customWidth="1"/>
    <col min="104" max="104" width="12.83203125" style="65" bestFit="1" customWidth="1"/>
    <col min="105" max="105" width="14.6640625" style="65" bestFit="1" customWidth="1"/>
    <col min="106" max="106" width="7.5" style="65" bestFit="1" customWidth="1"/>
    <col min="107" max="107" width="9.5" style="65" bestFit="1" customWidth="1"/>
    <col min="108" max="108" width="9.6640625" style="65" bestFit="1" customWidth="1"/>
    <col min="109" max="109" width="12.83203125" style="65" bestFit="1" customWidth="1"/>
    <col min="110" max="110" width="14.6640625" style="65" bestFit="1" customWidth="1"/>
    <col min="111" max="111" width="7.5" style="65" bestFit="1" customWidth="1"/>
    <col min="112" max="112" width="9.5" style="65" bestFit="1" customWidth="1"/>
    <col min="113" max="113" width="9.6640625" style="65" bestFit="1" customWidth="1"/>
    <col min="114" max="114" width="12.83203125" style="65" bestFit="1" customWidth="1"/>
    <col min="115" max="115" width="14.6640625" style="65" bestFit="1" customWidth="1"/>
    <col min="116" max="16384" width="11.5" style="65"/>
  </cols>
  <sheetData>
    <row r="1" spans="1:115" x14ac:dyDescent="0.15">
      <c r="A1" s="65" t="s">
        <v>57</v>
      </c>
      <c r="B1" s="65" t="s">
        <v>58</v>
      </c>
      <c r="C1" s="65" t="s">
        <v>59</v>
      </c>
      <c r="D1" s="65" t="s">
        <v>60</v>
      </c>
      <c r="E1" s="65" t="s">
        <v>61</v>
      </c>
      <c r="F1" s="65" t="s">
        <v>62</v>
      </c>
      <c r="G1" s="65" t="s">
        <v>63</v>
      </c>
      <c r="H1" s="65" t="s">
        <v>64</v>
      </c>
      <c r="I1" s="65" t="s">
        <v>65</v>
      </c>
      <c r="J1" s="65" t="s">
        <v>66</v>
      </c>
      <c r="K1" s="65" t="s">
        <v>67</v>
      </c>
      <c r="L1" s="65" t="s">
        <v>68</v>
      </c>
      <c r="M1" s="65" t="s">
        <v>69</v>
      </c>
      <c r="N1" s="65" t="s">
        <v>70</v>
      </c>
      <c r="O1" s="65" t="s">
        <v>71</v>
      </c>
      <c r="P1" s="65" t="s">
        <v>72</v>
      </c>
      <c r="Q1" s="65" t="s">
        <v>73</v>
      </c>
      <c r="R1" s="65" t="s">
        <v>74</v>
      </c>
      <c r="S1" s="65" t="s">
        <v>75</v>
      </c>
      <c r="T1" s="65" t="s">
        <v>76</v>
      </c>
      <c r="U1" s="65" t="s">
        <v>77</v>
      </c>
      <c r="V1" s="65" t="s">
        <v>78</v>
      </c>
      <c r="W1" s="65" t="s">
        <v>79</v>
      </c>
      <c r="X1" s="65" t="s">
        <v>82</v>
      </c>
      <c r="Y1" s="65" t="s">
        <v>83</v>
      </c>
      <c r="Z1" s="65" t="s">
        <v>84</v>
      </c>
      <c r="AA1" s="65" t="s">
        <v>85</v>
      </c>
      <c r="AB1" s="65" t="s">
        <v>80</v>
      </c>
      <c r="AC1" s="65" t="s">
        <v>81</v>
      </c>
      <c r="AD1" s="65" t="s">
        <v>86</v>
      </c>
      <c r="AE1" s="65" t="s">
        <v>87</v>
      </c>
      <c r="AF1" s="65" t="s">
        <v>88</v>
      </c>
      <c r="AG1" s="65" t="s">
        <v>89</v>
      </c>
      <c r="AH1" s="65" t="s">
        <v>90</v>
      </c>
      <c r="AI1" s="65" t="s">
        <v>91</v>
      </c>
      <c r="AJ1" s="65" t="s">
        <v>92</v>
      </c>
      <c r="AK1" s="65" t="s">
        <v>93</v>
      </c>
      <c r="AL1" s="65" t="s">
        <v>94</v>
      </c>
      <c r="AM1" s="65" t="s">
        <v>95</v>
      </c>
      <c r="AN1" s="65" t="s">
        <v>96</v>
      </c>
      <c r="AO1" s="65" t="s">
        <v>97</v>
      </c>
      <c r="AP1" s="65" t="s">
        <v>98</v>
      </c>
      <c r="AQ1" s="65" t="s">
        <v>99</v>
      </c>
      <c r="AR1" s="65" t="s">
        <v>100</v>
      </c>
      <c r="AS1" s="65" t="s">
        <v>101</v>
      </c>
      <c r="AT1" s="65" t="s">
        <v>102</v>
      </c>
      <c r="AU1" s="65" t="s">
        <v>103</v>
      </c>
      <c r="AV1" s="65" t="s">
        <v>104</v>
      </c>
      <c r="AW1" s="65" t="s">
        <v>105</v>
      </c>
      <c r="AX1" s="65" t="s">
        <v>106</v>
      </c>
      <c r="AY1" s="65" t="s">
        <v>107</v>
      </c>
      <c r="AZ1" s="65" t="s">
        <v>108</v>
      </c>
      <c r="BA1" s="65" t="s">
        <v>109</v>
      </c>
      <c r="BB1" s="65" t="s">
        <v>12</v>
      </c>
      <c r="BC1" s="65" t="s">
        <v>13</v>
      </c>
      <c r="BD1" s="65" t="s">
        <v>274</v>
      </c>
      <c r="BE1" s="65" t="s">
        <v>110</v>
      </c>
      <c r="BF1" s="65" t="s">
        <v>111</v>
      </c>
      <c r="BG1" s="65" t="s">
        <v>112</v>
      </c>
      <c r="BH1" s="65" t="s">
        <v>113</v>
      </c>
      <c r="BI1" s="65" t="s">
        <v>114</v>
      </c>
      <c r="BJ1" s="65" t="s">
        <v>115</v>
      </c>
      <c r="BK1" s="65" t="s">
        <v>116</v>
      </c>
      <c r="BL1" s="65" t="s">
        <v>117</v>
      </c>
      <c r="BM1" s="65" t="s">
        <v>118</v>
      </c>
      <c r="BN1" s="65" t="s">
        <v>39</v>
      </c>
      <c r="BO1" s="65" t="s">
        <v>35</v>
      </c>
      <c r="BP1" s="65" t="s">
        <v>119</v>
      </c>
      <c r="BQ1" s="65" t="s">
        <v>120</v>
      </c>
      <c r="BR1" s="65" t="s">
        <v>121</v>
      </c>
      <c r="BS1" s="65" t="s">
        <v>122</v>
      </c>
      <c r="BT1" s="65" t="s">
        <v>123</v>
      </c>
      <c r="BU1" s="65" t="s">
        <v>124</v>
      </c>
      <c r="BV1" s="65" t="s">
        <v>125</v>
      </c>
      <c r="BW1" s="65" t="s">
        <v>126</v>
      </c>
      <c r="BX1" s="65" t="s">
        <v>36</v>
      </c>
      <c r="BY1" s="65" t="s">
        <v>37</v>
      </c>
      <c r="BZ1" s="65" t="s">
        <v>129</v>
      </c>
      <c r="CA1" s="65" t="s">
        <v>130</v>
      </c>
      <c r="CB1" s="65" t="s">
        <v>131</v>
      </c>
      <c r="CC1" s="65" t="s">
        <v>132</v>
      </c>
      <c r="CD1" s="65" t="s">
        <v>133</v>
      </c>
      <c r="CE1" s="65" t="s">
        <v>134</v>
      </c>
      <c r="CF1" s="65" t="s">
        <v>135</v>
      </c>
      <c r="CG1" s="65" t="s">
        <v>136</v>
      </c>
      <c r="CH1" s="65" t="s">
        <v>137</v>
      </c>
      <c r="CI1" s="65" t="s">
        <v>138</v>
      </c>
      <c r="CJ1" s="65" t="s">
        <v>139</v>
      </c>
      <c r="CK1" s="65" t="s">
        <v>140</v>
      </c>
      <c r="CL1" s="65" t="s">
        <v>141</v>
      </c>
      <c r="CM1" s="65" t="s">
        <v>142</v>
      </c>
      <c r="CN1" s="65" t="s">
        <v>143</v>
      </c>
      <c r="CO1" s="65" t="s">
        <v>144</v>
      </c>
      <c r="CP1" s="65" t="s">
        <v>145</v>
      </c>
      <c r="CQ1" s="65" t="s">
        <v>146</v>
      </c>
      <c r="CR1" s="65" t="s">
        <v>147</v>
      </c>
      <c r="CS1" s="65" t="s">
        <v>148</v>
      </c>
      <c r="CT1" s="65" t="s">
        <v>149</v>
      </c>
      <c r="CU1" s="65" t="s">
        <v>150</v>
      </c>
      <c r="CV1" s="65" t="s">
        <v>151</v>
      </c>
      <c r="CW1" s="65" t="s">
        <v>152</v>
      </c>
      <c r="CX1" s="65" t="s">
        <v>153</v>
      </c>
      <c r="CY1" s="65" t="s">
        <v>154</v>
      </c>
      <c r="CZ1" s="65" t="s">
        <v>155</v>
      </c>
      <c r="DA1" s="65" t="s">
        <v>156</v>
      </c>
      <c r="DB1" s="65" t="s">
        <v>157</v>
      </c>
      <c r="DC1" s="65" t="s">
        <v>158</v>
      </c>
      <c r="DD1" s="65" t="s">
        <v>159</v>
      </c>
      <c r="DE1" s="65" t="s">
        <v>160</v>
      </c>
      <c r="DF1" s="65" t="s">
        <v>161</v>
      </c>
      <c r="DG1" s="65" t="s">
        <v>162</v>
      </c>
      <c r="DH1" s="65" t="s">
        <v>163</v>
      </c>
      <c r="DI1" s="65" t="s">
        <v>164</v>
      </c>
      <c r="DJ1" s="65" t="s">
        <v>165</v>
      </c>
      <c r="DK1" s="65" t="s">
        <v>166</v>
      </c>
    </row>
    <row r="2" spans="1:115" s="116" customFormat="1" x14ac:dyDescent="0.15">
      <c r="A2" s="116">
        <f>VALUE(' Boletín de Inscripción '!AA25)</f>
        <v>0</v>
      </c>
      <c r="B2" s="116">
        <f>VALUE(' Boletín de Inscripción '!AE25)</f>
        <v>0</v>
      </c>
      <c r="C2" s="116">
        <f>B2</f>
        <v>0</v>
      </c>
      <c r="D2" s="116" t="e">
        <f>IF(' Boletín de Inscripción '!#REF!="","",IF(LEN(' Boletín de Inscripción '!#REF!)&gt;50,PROPER(LEFT(' Boletín de Inscripción '!#REF!,50)),PROPER(' Boletín de Inscripción '!#REF!)))</f>
        <v>#REF!</v>
      </c>
      <c r="G2" s="116" t="e">
        <f>D2&amp;" "&amp;E2&amp;" "&amp;F2</f>
        <v>#REF!</v>
      </c>
      <c r="H2" s="116" t="e">
        <f>IF(' Boletín de Inscripción '!#REF!="","",UPPER(LEFT(' Boletín de Inscripción '!#REF!,1)))</f>
        <v>#REF!</v>
      </c>
      <c r="I2" s="116" t="e">
        <f>IF(' Boletín de Inscripción '!#REF!="","",IF(LEN(' Boletín de Inscripción '!#REF!)&gt;20,UPPER(LEFT(' Boletín de Inscripción '!#REF!,20)),UPPER(' Boletín de Inscripción '!#REF!)))&amp;" "&amp;' Boletín de Inscripción '!#REF!</f>
        <v>#REF!</v>
      </c>
      <c r="J2" s="116" t="e">
        <f>IF(' Boletín de Inscripción '!#REF!,"",IF(LEN(DNICIFCONCURSANTE)&gt;20,UPPER(LEFT("DNICIRCONCURSANTE",20)),UPPER(DNICIFCONCURSANTE)))</f>
        <v>#REF!</v>
      </c>
      <c r="K2" s="116" t="e">
        <f>IF(' Boletín de Inscripción '!#REF!="","",IF(LEN(' Boletín de Inscripción '!#REF!)&gt;40,PROPER(LEFT(' Boletín de Inscripción '!#REF!,40)),PROPER(' Boletín de Inscripción '!#REF!)))</f>
        <v>#REF!</v>
      </c>
      <c r="L2" s="116" t="e">
        <f>IF(' Boletín de Inscripción '!#REF!="","",IF(LEN(' Boletín de Inscripción '!#REF!)&gt;10,LEFT(' Boletín de Inscripción '!#REF!,10),' Boletín de Inscripción '!#REF!))</f>
        <v>#REF!</v>
      </c>
      <c r="M2" s="116" t="e">
        <f>IF(' Boletín de Inscripción '!#REF!="","",IF(LEN(' Boletín de Inscripción '!#REF!)&gt;25,PROPER(LEFT(' Boletín de Inscripción '!#REF!,25)),PROPER(' Boletín de Inscripción '!#REF!)))</f>
        <v>#REF!</v>
      </c>
      <c r="N2" s="116" t="e">
        <f>IF(' Boletín de Inscripción '!#REF!="","",IF(LEN(' Boletín de Inscripción '!#REF!)&gt;25,UPPER(LEFT(' Boletín de Inscripción '!#REF!,25)),UPPER(' Boletín de Inscripción '!#REF!)))</f>
        <v>#REF!</v>
      </c>
      <c r="O2" s="116" t="e">
        <f>IF(' Boletín de Inscripción '!#REF!="","",IF(LEN(' Boletín de Inscripción '!#REF!)&gt;15,LEFT(' Boletín de Inscripción '!#REF!,15),' Boletín de Inscripción '!#REF!))</f>
        <v>#REF!</v>
      </c>
      <c r="P2" s="116" t="e">
        <f>IF(' Boletín de Inscripción '!#REF!="","",IF(LEN(' Boletín de Inscripción '!#REF!)&gt;15,LEFT(' Boletín de Inscripción '!#REF!,15),' Boletín de Inscripción '!#REF!))</f>
        <v>#REF!</v>
      </c>
      <c r="Q2" s="116" t="e">
        <f>IF(' Boletín de Inscripción '!#REF!="","",IF(LEN(' Boletín de Inscripción '!#REF!)&gt;15,LEFT(' Boletín de Inscripción '!#REF!,15),' Boletín de Inscripción '!#REF!))</f>
        <v>#REF!</v>
      </c>
      <c r="R2" s="116" t="e">
        <f>IF(' Boletín de Inscripción '!#REF!="","",IF(LEN(' Boletín de Inscripción '!#REF!)&gt;30,LEFT(' Boletín de Inscripción '!#REF!,30),' Boletín de Inscripción '!#REF!))</f>
        <v>#REF!</v>
      </c>
      <c r="S2" s="116" t="str">
        <f>IF(' Boletín de Inscripción '!V36="","",IF(LEN(' Boletín de Inscripción '!V36)&gt;25,PROPER(LEFT(' Boletín de Inscripción '!V36,25)),PROPER(' Boletín de Inscripción '!V36)))</f>
        <v/>
      </c>
      <c r="T2" s="116" t="str">
        <f>IF(' Boletín de Inscripción '!D36="","",IF(LEN(' Boletín de Inscripción '!D36)&gt;25,UPPER(LEFT(' Boletín de Inscripción '!D36,25)),UPPER(' Boletín de Inscripción '!D36)))</f>
        <v/>
      </c>
      <c r="U2" s="116" t="str">
        <f>IF(' Boletín de Inscripción '!L36="","",IF(LEN(' Boletín de Inscripción '!L36)&gt;25,UPPER(LEFT(' Boletín de Inscripción '!L36,25)),UPPER(' Boletín de Inscripción '!L36)))</f>
        <v/>
      </c>
      <c r="V2" s="116" t="str">
        <f>S2&amp;" "&amp;T2&amp;" "&amp;U2</f>
        <v xml:space="preserve">  </v>
      </c>
      <c r="W2" s="116" t="str">
        <f>IF(' Boletín de Inscripción '!J40="","",UPPER(LEFT(' Boletín de Inscripción '!J40,1)))</f>
        <v/>
      </c>
      <c r="X2" s="116" t="str">
        <f>IF(' Boletín de Inscripción '!Y40="","",IF(LEN(' Boletín de Inscripción '!Y40)&gt;20,UPPER(LEFT(' Boletín de Inscripción '!Y40,20)),UPPER(' Boletín de Inscripción '!Y40)))</f>
        <v/>
      </c>
      <c r="Y2" s="116" t="str">
        <f>IF(' Boletín de Inscripción '!Q40="","",IF(LEN(' Boletín de Inscripción '!Q40)&gt;20,UPPER(LEFT(' Boletín de Inscripción '!Q40,20)),UPPER(' Boletín de Inscripción '!Q40)))</f>
        <v/>
      </c>
      <c r="Z2" s="116" t="str">
        <f>IF(' Boletín de Inscripción '!D38="","",IF(LEN(' Boletín de Inscripción '!D38)&gt;40,PROPER(LEFT(' Boletín de Inscripción '!D38,40)),PROPER(' Boletín de Inscripción '!D38)))</f>
        <v/>
      </c>
      <c r="AA2" s="116" t="str">
        <f>IF(' Boletín de Inscripción '!Q38="","",IF(LEN(' Boletín de Inscripción '!Q38)&gt;10,LEFT(' Boletín de Inscripción '!Q38,10),' Boletín de Inscripción '!Q38))</f>
        <v/>
      </c>
      <c r="AB2" s="116" t="str">
        <f>IF(' Boletín de Inscripción '!V38="","",IF(LEN(' Boletín de Inscripción '!V38)&gt;25,PROPER(LEFT(' Boletín de Inscripción '!V38,25)),PROPER(' Boletín de Inscripción '!V38)))</f>
        <v/>
      </c>
      <c r="AC2" s="116" t="str">
        <f>IF(' Boletín de Inscripción '!D40="","",IF(LEN(' Boletín de Inscripción '!D40)&gt;25,UPPER(LEFT(' Boletín de Inscripción '!D40,25)),UPPER(' Boletín de Inscripción '!D40)))</f>
        <v/>
      </c>
      <c r="AD2" s="116" t="str">
        <f>IF(' Boletín de Inscripción '!D42="","",IF(LEN(' Boletín de Inscripción '!D42)&gt;15,LEFT(' Boletín de Inscripción '!D42,15),' Boletín de Inscripción '!D42))</f>
        <v/>
      </c>
      <c r="AE2" s="116" t="str">
        <f>IF(' Boletín de Inscripción '!I42="","",IF(LEN(' Boletín de Inscripción '!I42)&gt;15,LEFT(' Boletín de Inscripción '!I42,15),' Boletín de Inscripción '!I42))</f>
        <v/>
      </c>
      <c r="AF2" s="116" t="str">
        <f>IF(' Boletín de Inscripción '!N42="","",IF(LEN(' Boletín de Inscripción '!N42)&gt;15,LEFT(' Boletín de Inscripción '!N42,15),' Boletín de Inscripción '!N42))</f>
        <v/>
      </c>
      <c r="AG2" s="116" t="str">
        <f>IF(' Boletín de Inscripción '!V42="","",IF(LEN(' Boletín de Inscripción '!V42)&gt;30,LEFT(' Boletín de Inscripción '!V42,30),' Boletín de Inscripción '!V42))</f>
        <v/>
      </c>
      <c r="AH2" s="116" t="str">
        <f>IF(' Boletín de Inscripción '!V45="","",IF(LEN(' Boletín de Inscripción '!V45)&gt;25,PROPER(LEFT(' Boletín de Inscripción '!V45,25)),PROPER(' Boletín de Inscripción '!V45)))</f>
        <v/>
      </c>
      <c r="AI2" s="116" t="str">
        <f>IF(' Boletín de Inscripción '!D45="","",IF(LEN(' Boletín de Inscripción '!D45)&gt;25,UPPER(LEFT(' Boletín de Inscripción '!D45,25)),UPPER(' Boletín de Inscripción '!D45)))</f>
        <v/>
      </c>
      <c r="AJ2" s="116" t="str">
        <f>IF(' Boletín de Inscripción '!L45="","",IF(LEN(' Boletín de Inscripción '!L45)&gt;25,UPPER(LEFT(' Boletín de Inscripción '!L45,25)),UPPER(' Boletín de Inscripción '!L45)))</f>
        <v/>
      </c>
      <c r="AK2" s="116" t="str">
        <f>AH2&amp;" "&amp;AI2&amp;" "&amp;AJ2</f>
        <v xml:space="preserve">  </v>
      </c>
      <c r="AL2" s="116" t="str">
        <f>IF( ' Boletín de Inscripción '!J49="","",UPPER(LEFT(' Boletín de Inscripción '!J49,1)))</f>
        <v/>
      </c>
      <c r="AM2" s="116" t="str">
        <f>IF(' Boletín de Inscripción '!Y49="","",IF(LEN(' Boletín de Inscripción '!Y49)&gt;20,UPPER(LEFT(' Boletín de Inscripción '!Y49,20)),UPPER(' Boletín de Inscripción '!Y49)))</f>
        <v/>
      </c>
      <c r="AN2" s="116" t="str">
        <f>IF(' Boletín de Inscripción '!Q49="","",IF(LEN(' Boletín de Inscripción '!Q49)&gt;20,UPPER(LEFT(' Boletín de Inscripción '!Q49,20)),UPPER(' Boletín de Inscripción '!Q49)))</f>
        <v/>
      </c>
      <c r="AO2" s="116" t="str">
        <f>IF(' Boletín de Inscripción '!D47="","",IF(LEN(' Boletín de Inscripción '!D47)&gt;40,PROPER(LEFT(' Boletín de Inscripción '!D47,40)),PROPER(' Boletín de Inscripción '!D47)))</f>
        <v/>
      </c>
      <c r="AP2" s="116" t="str">
        <f>IF(' Boletín de Inscripción '!Q47="","",IF(LEN(' Boletín de Inscripción '!Q47)&gt;10,LEFT(' Boletín de Inscripción '!Q47,10),' Boletín de Inscripción '!Q47))</f>
        <v/>
      </c>
      <c r="AQ2" s="116" t="str">
        <f>IF(' Boletín de Inscripción '!V47="","",IF(LEN(' Boletín de Inscripción '!V47)&gt;25,PROPER(LEFT(' Boletín de Inscripción '!V47,25)),PROPER(' Boletín de Inscripción '!V47)))</f>
        <v/>
      </c>
      <c r="AR2" s="116" t="str">
        <f>IF(' Boletín de Inscripción '!D49="","",IF(LEN(' Boletín de Inscripción '!D49)&gt;25,UPPER(LEFT(' Boletín de Inscripción '!D49,25)),UPPER(' Boletín de Inscripción '!D49)))</f>
        <v/>
      </c>
      <c r="AS2" s="116" t="str">
        <f>IF(' Boletín de Inscripción '!D51="","",IF(LEN(' Boletín de Inscripción '!D51)&gt;15,LEFT(' Boletín de Inscripción '!D51,15),' Boletín de Inscripción '!D51))</f>
        <v/>
      </c>
      <c r="AT2" s="116" t="str">
        <f>IF(' Boletín de Inscripción '!I51="","",IF(LEN(' Boletín de Inscripción '!I51)&gt;15,LEFT(' Boletín de Inscripción '!I51,15),' Boletín de Inscripción '!I51))</f>
        <v/>
      </c>
      <c r="AU2" s="116" t="str">
        <f>IF(' Boletín de Inscripción '!N51="","",IF(LEN(' Boletín de Inscripción '!N51)&gt;15,LEFT(' Boletín de Inscripción '!N51,15),' Boletín de Inscripción '!N51))</f>
        <v/>
      </c>
      <c r="AV2" s="116" t="str">
        <f>IF(' Boletín de Inscripción '!V51="","",IF(LEN(' Boletín de Inscripción '!V51)&gt;30,LEFT(' Boletín de Inscripción '!V51,30),' Boletín de Inscripción '!V51))</f>
        <v/>
      </c>
      <c r="AW2" s="116" t="str">
        <f>IF(' Boletín de Inscripción '!C56="","",IF(LEN(' Boletín de Inscripción '!C56)&gt;25,PROPER(LEFT(' Boletín de Inscripción '!C56,25)),PROPER(' Boletín de Inscripción '!C56)))</f>
        <v/>
      </c>
      <c r="AX2" s="116" t="str">
        <f>IF(' Boletín de Inscripción '!C58="","",IF(LEN(' Boletín de Inscripción '!C58)&gt;25,UPPER(LEFT(' Boletín de Inscripción '!C58,25)),UPPER(' Boletín de Inscripción '!C58)))</f>
        <v/>
      </c>
      <c r="AY2" s="116" t="str">
        <f>IF(' Boletín de Inscripción '!J62="","",IF(LEN(' Boletín de Inscripción '!J62)&gt;25,UPPER(LEFT(' Boletín de Inscripción '!J62,25)),UPPER(' Boletín de Inscripción '!J62)))</f>
        <v/>
      </c>
      <c r="AZ2" s="118" t="str">
        <f>IF(' Boletín de Inscripción '!C62="","",IF(LEN(' Boletín de Inscripción '!C62)&gt;25,UPPER(LEFT(' Boletín de Inscripción '!C62,25)),UPPER(' Boletín de Inscripción '!C62)))</f>
        <v>0</v>
      </c>
      <c r="BA2" s="116" t="str">
        <f>IF(' Boletín de Inscripción '!J56="","",IF(LEN(' Boletín de Inscripción '!J56)&gt;25,UPPER(LEFT(' Boletín de Inscripción '!J56,25)),UPPER(' Boletín de Inscripción '!J56)))</f>
        <v/>
      </c>
      <c r="BB2" s="116" t="str">
        <f>IF(' Boletín de Inscripción '!Z119="","",IF(LEN(' Boletín de Inscripción '!Z119)&gt;3,UPPER(LEFT(' Boletín de Inscripción '!Z119,5)),UPPER(' Boletín de Inscripción '!Z119)))</f>
        <v xml:space="preserve"> </v>
      </c>
      <c r="BC2" s="116" t="str">
        <f>IF(' Boletín de Inscripción '!W60="","",IF(LEN(' Boletín de Inscripción '!W60)&gt;3,LEFT(' Boletín de Inscripción '!W60,10),' Boletín de Inscripción '!W60))</f>
        <v/>
      </c>
      <c r="BD2" s="116" t="str">
        <f>IF(' Boletín de Inscripción '!Q57="","",IF(LEN(' Boletín de Inscripción '!Q57)&gt;3,LEFT(' Boletín de Inscripción '!Q57,25),' Boletín de Inscripción '!Q57))</f>
        <v/>
      </c>
      <c r="BE2" s="116" t="e">
        <f>IF(Trofeo1=TRUE,"SI","NO")</f>
        <v>#REF!</v>
      </c>
      <c r="BF2" s="116" t="e">
        <f>IF(Trofeo2=TRUE,"SI","NO")</f>
        <v>#REF!</v>
      </c>
      <c r="BG2" s="116" t="e">
        <f>IF(Trofeo3=TRUE,"SI","NO")</f>
        <v>#REF!</v>
      </c>
      <c r="BH2" s="116" t="e">
        <f>IF(Trofeo4=TRUE,"SI","NO")</f>
        <v>#REF!</v>
      </c>
      <c r="BI2" s="116" t="e">
        <f>IF(Trofeo5=TRUE,"SI","NO")</f>
        <v>#REF!</v>
      </c>
      <c r="BJ2" s="116" t="e">
        <f>IF(Trofeo6=TRUE,"SI","NO")</f>
        <v>#REF!</v>
      </c>
      <c r="BK2" s="116" t="str">
        <f>IF(Trofeo7=TRUE,"SI","NO")</f>
        <v>NO</v>
      </c>
      <c r="BL2" s="116" t="str">
        <f>IF(Trofeo8=TRUE,"SI","NO")</f>
        <v>SI</v>
      </c>
      <c r="BM2" s="116" t="s">
        <v>127</v>
      </c>
      <c r="BN2" s="116" t="str">
        <f>IF(Publicidad=1,"SI","NO")</f>
        <v>SI</v>
      </c>
      <c r="BO2" s="116" t="str">
        <f>IF(Shakedown=TRUE,"SI","NO")</f>
        <v>NO</v>
      </c>
      <c r="BP2" s="119">
        <f ca="1">IF(' Boletín de Inscripción '!W25="",TODAY(),' Boletín de Inscripción '!V25)</f>
        <v>44882</v>
      </c>
      <c r="BQ2" s="120">
        <f ca="1">IF(' Boletín de Inscripción '!W28="",NOW(),' Boletín de Inscripción '!W28)</f>
        <v>44882.527974999997</v>
      </c>
      <c r="BR2" s="116" t="e">
        <f>IF(' Boletín de Inscripción '!#REF!="","",IF(LEN(' Boletín de Inscripción '!#REF!)&gt;61,PROPER(LEFT(' Boletín de Inscripción '!#REF!,61)),PROPER(' Boletín de Inscripción '!#REF!)))</f>
        <v>#REF!</v>
      </c>
      <c r="BS2" s="117" t="s">
        <v>128</v>
      </c>
      <c r="BT2" s="116" t="e">
        <f>IF(' Boletín de Inscripción '!#REF!="","",IF(LEN(' Boletín de Inscripción '!#REF!)&gt;1,UPPER(LEFT(' Boletín de Inscripción '!#REF!,1)),UPPER(' Boletín de Inscripción '!#REF!)))</f>
        <v>#REF!</v>
      </c>
      <c r="BU2" s="116" t="e">
        <f>IF(' Boletín de Inscripción '!#REF!="","",IF(LEN(' Boletín de Inscripción '!#REF!)&gt;1,LEFT(' Boletín de Inscripción '!#REF!,1),' Boletín de Inscripción '!#REF!))</f>
        <v>#REF!</v>
      </c>
      <c r="BV2" s="116" t="e">
        <f>IF(' Boletín de Inscripción '!#REF!="","",IF(LEN(' Boletín de Inscripción '!#REF!)&gt;1,UPPER(LEFT(' Boletín de Inscripción '!#REF!,1)),UPPER(' Boletín de Inscripción '!#REF!)))</f>
        <v>#REF!</v>
      </c>
      <c r="BW2" s="116" t="e">
        <f>IF(' Boletín de Inscripción '!#REF!="","",IF(LEN(' Boletín de Inscripción '!#REF!)&gt;1,LEFT(' Boletín de Inscripción '!#REF!,1),' Boletín de Inscripción '!#REF!))</f>
        <v>#REF!</v>
      </c>
      <c r="BX2" s="116" t="str">
        <f>IF(Ouvreur=TRUE,"SI","NO")</f>
        <v>NO</v>
      </c>
      <c r="BY2" s="116" t="str">
        <f>IF(Auxiliar=TRUE,"SI","NO")</f>
        <v>NO</v>
      </c>
      <c r="BZ2" s="116" t="e">
        <f>IF(NombreA1="","",IF(LEN(NombreA1)&gt;25,UPPER(LEFT(NombreA1,25)),UPPER(NombreA1)))</f>
        <v>#REF!</v>
      </c>
      <c r="CA2" s="116" t="e">
        <f>IF(PrimerApellidoA1="","",IF(LEN(PrimerApellidoA1)&gt;25,UPPER(LEFT(PrimerApellidoA1,25)),UPPER(PrimerApellidoA1)))</f>
        <v>#REF!</v>
      </c>
      <c r="CB2" s="116" t="e">
        <f>IF(SegundoApellidoA1="","",IF(LEN(SegundoApellidoA1)&gt;25,UPPER(LEFT(SegundoApellidoA1,25)),UPPER(SegundoApellidoA1)))</f>
        <v>#REF!</v>
      </c>
      <c r="CC2" s="116" t="e">
        <f>IF(DniCifA1="","",IF(LEN(DniCifA1)&gt;25,UPPER(LEFT(DniCifA1,25)),UPPER(DniCifA1)))</f>
        <v>#REF!</v>
      </c>
      <c r="CD2" s="116" t="e">
        <f>IF(LicenciaA1="","",IF(LEN(LicenciaA1)&gt;25,UPPER(LEFT(LicenciaA1,25)),UPPER(LicenciaA1)))</f>
        <v>#REF!</v>
      </c>
      <c r="CE2" s="116" t="e">
        <f>IF(NombreA2="","",IF(LEN(NombreA2)&gt;25,UPPER(LEFT(NombreA2,25)),UPPER(NombreA2)))</f>
        <v>#REF!</v>
      </c>
      <c r="CF2" s="116" t="e">
        <f>IF(PrimerApellidoA2="","",IF(LEN(PrimerApellidoA2)&gt;25,UPPER(LEFT(PrimerApellidoA2,25)),UPPER(PrimerApellidoA2)))</f>
        <v>#REF!</v>
      </c>
      <c r="CG2" s="116" t="e">
        <f>IF(SegundoApellidoA2="","",IF(LEN(SegundoApellidoA2)&gt;25,UPPER(LEFT(SegundoApellidoA2,25)),UPPER(SegundoApellidoA2)))</f>
        <v>#REF!</v>
      </c>
      <c r="CH2" s="116" t="e">
        <f>IF(DniCifA2="","",IF(LEN(DniCifA2)&gt;25,UPPER(LEFT(DniCifA2,25)),UPPER(DniCifA2)))</f>
        <v>#REF!</v>
      </c>
      <c r="CI2" s="116" t="e">
        <f>IF(LicenciaA2="","",IF(LEN(LicenciaA2)&gt;25,UPPER(LEFT(LicenciaA2,25)),UPPER(LicenciaA2)))</f>
        <v>#REF!</v>
      </c>
      <c r="CJ2" s="116" t="e">
        <f>IF(NombreR1="","",IF(LEN(NombreR1)&gt;25,UPPER(LEFT(NombreR1,25)),UPPER(NombreR1)))</f>
        <v>#REF!</v>
      </c>
      <c r="CK2" s="116" t="e">
        <f>IF(PrimerApellidoR1="","",IF(LEN(PrimerApellidoR1)&gt;25,UPPER(LEFT(PrimerApellidoR1,25)),UPPER(PrimerApellidoR1)))</f>
        <v>#REF!</v>
      </c>
      <c r="CL2" s="116" t="e">
        <f>IF(SegundoApellidoR1="","",IF(LEN(SegundoApellidoR1)&gt;25,UPPER(LEFT(SegundoApellidoR1,25)),UPPER(SegundoApellidoR1)))</f>
        <v>#REF!</v>
      </c>
      <c r="CM2" s="116" t="e">
        <f>IF(DniCifR1="","",IF(LEN(DniCifR1)&gt;25,UPPER(LEFT(DniCifR1,25)),UPPER(DniCifR1)))</f>
        <v>#REF!</v>
      </c>
      <c r="CN2" s="116" t="e">
        <f>IF(LicenciaR1="","",IF(LEN(LicenciaR1)&gt;25,UPPER(LEFT(LicenciaR1,25)),UPPER(LicenciaR1)))</f>
        <v>#REF!</v>
      </c>
      <c r="CO2" s="116" t="e">
        <f>IF(NombreR2="","",IF(LEN(NombreR2)&gt;25,UPPER(LEFT(NombreR2,25)),UPPER(NombreR2)))</f>
        <v>#REF!</v>
      </c>
      <c r="CP2" s="116" t="e">
        <f>IF(PrimerApellidoR2="","",IF(LEN(PrimerApellidoR2)&gt;25,UPPER(LEFT(PrimerApellidoR2,25)),UPPER(PrimerApellidoR2)))</f>
        <v>#REF!</v>
      </c>
      <c r="CQ2" s="116" t="e">
        <f>IF(SegundoApellidoR2="","",IF(LEN(SegundoApellidoR2)&gt;25,UPPER(LEFT(SegundoApellidoR2,25)),UPPER(SegundoApellidoR2)))</f>
        <v>#REF!</v>
      </c>
      <c r="CR2" s="116" t="e">
        <f>IF(DniCifR2="","",IF(LEN(DniCifR2)&gt;25,UPPER(LEFT(DniCifR2,25)),UPPER(DniCifR2)))</f>
        <v>#REF!</v>
      </c>
      <c r="CS2" s="116" t="e">
        <f>IF(LicenciaR2="","",IF(LEN(LicenciaR2)&gt;25,UPPER(LEFT(LicenciaR2,25)),UPPER(LicenciaR2)))</f>
        <v>#REF!</v>
      </c>
      <c r="CT2" s="116" t="e">
        <f>IF(NombreAux="","",IF(LEN(NombreAux)&gt;25,UPPER(LEFT(NombreAux,25)),UPPER(NombreAux)))</f>
        <v>#REF!</v>
      </c>
      <c r="CU2" s="116" t="e">
        <f>IF(PrimerApellidoAux="","",IF(LEN(PrimerApellidoAux)&gt;25,UPPER(LEFT(PrimerApellidoAux,25)),UPPER(PrimerApellidoAux)))</f>
        <v>#REF!</v>
      </c>
      <c r="CV2" s="116" t="e">
        <f>IF(SegundoApellidoAux="","",IF(LEN(SegundoApellidoAux)&gt;25,UPPER(LEFT(SegundoApellidoAux,25)),UPPER(SegundoApellidoAux)))</f>
        <v>#REF!</v>
      </c>
      <c r="CW2" s="116" t="e">
        <f>IF(DniCifAux="","",IF(LEN(DniCifAux)&gt;25,UPPER(LEFT(DniCifAux,25)),UPPER(DniCifAux)))</f>
        <v>#REF!</v>
      </c>
      <c r="CX2" s="116" t="e">
        <f>IF(LicenciaAux="","",IF(LEN(LicenciaAux)&gt;25,UPPER(LEFT(LicenciaAux,25)),UPPER(LicenciaAux)))</f>
        <v>#REF!</v>
      </c>
      <c r="CY2" s="116" t="e">
        <f>IF(NombreO1="","",IF(LEN(NombreO1)&gt;25,UPPER(LEFT(NombreO1,25)),UPPER(NombreO1)))</f>
        <v>#REF!</v>
      </c>
      <c r="CZ2" s="116" t="e">
        <f>IF(PrimerApellidoO1="","",IF(LEN(PrimerApellidoO1)&gt;25,UPPER(LEFT(PrimerApellidoO1,25)),UPPER(PrimerApellidoO1)))</f>
        <v>#REF!</v>
      </c>
      <c r="DA2" s="116" t="e">
        <f>IF(SegundoApellidoO1="","",IF(LEN(SegundoApellidoO1)&gt;25,UPPER(LEFT(SegundoApellidoO1,25)),UPPER(SegundoApellidoO1)))</f>
        <v>#REF!</v>
      </c>
      <c r="DB2" s="116" t="e">
        <f>IF(DniCifO1="","",IF(LEN(DniCifO1)&gt;25,UPPER(LEFT(DniCifO1,25)),UPPER(DniCifO1)))</f>
        <v>#REF!</v>
      </c>
      <c r="DC2" s="116" t="e">
        <f>IF(LicenciaO1="","",IF(LEN(LicenciaO1)&gt;25,UPPER(LEFT(LicenciaO1,25)),UPPER(LicenciaO1)))</f>
        <v>#REF!</v>
      </c>
      <c r="DD2" s="116" t="e">
        <f>IF(NombreO2="","",IF(LEN(NombreO2)&gt;25,UPPER(LEFT(NombreO2,25)),UPPER(NombreO2)))</f>
        <v>#REF!</v>
      </c>
      <c r="DE2" s="116" t="e">
        <f>IF(PrimerApellidoO2="","",IF(LEN(PrimerApellidoO2)&gt;25,UPPER(LEFT(PrimerApellidoO2,25)),UPPER(PrimerApellidoO2)))</f>
        <v>#REF!</v>
      </c>
      <c r="DF2" s="116" t="e">
        <f>IF(SegundoApellidoO2="","",IF(LEN(SegundoApellidoO2)&gt;25,UPPER(LEFT(SegundoApellidoO2,25)),UPPER(SegundoApellidoO2)))</f>
        <v>#REF!</v>
      </c>
      <c r="DG2" s="116" t="e">
        <f>IF(DniCifO2="","",IF(LEN(DniCifO2)&gt;25,UPPER(LEFT(DniCifO2,25)),UPPER(DniCifO2)))</f>
        <v>#REF!</v>
      </c>
      <c r="DH2" s="116" t="e">
        <f>IF(LicenciaO2="","",IF(LEN(LicenciaO2)&gt;25,UPPER(LEFT(LicenciaO2,25)),UPPER(LicenciaO2)))</f>
        <v>#REF!</v>
      </c>
      <c r="DI2" s="116" t="e">
        <f>IF(MarcaOuvreur="","",IF(LEN(MarcaOuvreur)&gt;25,UPPER(LEFT(MarcaOuvreur,25)),UPPER(MarcaOuvreur)))</f>
        <v>#REF!</v>
      </c>
      <c r="DJ2" s="116" t="e">
        <f>IF(ModeloOuvreur="","",IF(LEN(ModeloOuvreur)&gt;25,PROPER(LEFT(ModeloOuvreur,25)),PROPER(ModeloOuvreur)))</f>
        <v>#REF!</v>
      </c>
      <c r="DK2" s="116" t="e">
        <f>IF(MatriculaOuvreur="","",IF(LEN(MatriculaOuvreur)&gt;25,UPPER(LEFT(MatriculaOuvreur,25)),UPPER(MatriculaOuvreur)))</f>
        <v>#REF!</v>
      </c>
    </row>
    <row r="3" spans="1:115" x14ac:dyDescent="0.15">
      <c r="I3" s="115"/>
    </row>
  </sheetData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H26" sqref="H26"/>
    </sheetView>
  </sheetViews>
  <sheetFormatPr baseColWidth="10" defaultColWidth="0" defaultRowHeight="0" customHeight="1" zeroHeight="1" x14ac:dyDescent="0.15"/>
  <cols>
    <col min="1" max="1" width="4" style="30" hidden="1" customWidth="1"/>
    <col min="2" max="2" width="5.6640625" style="25" hidden="1" customWidth="1"/>
    <col min="3" max="3" width="9.6640625" style="25" customWidth="1"/>
    <col min="4" max="4" width="13.6640625" style="25" customWidth="1"/>
    <col min="5" max="5" width="6.33203125" style="25" customWidth="1"/>
    <col min="6" max="6" width="13.6640625" style="25" customWidth="1"/>
    <col min="7" max="8" width="8.6640625" style="25" customWidth="1"/>
    <col min="9" max="15" width="4.6640625" style="25" customWidth="1"/>
    <col min="16" max="16" width="3.6640625" style="31" hidden="1" customWidth="1"/>
    <col min="17" max="17" width="4.1640625" style="31" hidden="1" customWidth="1"/>
    <col min="18" max="26" width="11.5" style="31" hidden="1" customWidth="1"/>
    <col min="27" max="31" width="11.5" style="32" hidden="1" customWidth="1"/>
    <col min="32" max="162" width="11.5" style="30" hidden="1" customWidth="1"/>
    <col min="163" max="163" width="7.6640625" style="30" hidden="1" customWidth="1"/>
    <col min="164" max="16384" width="11.5" style="30" hidden="1"/>
  </cols>
  <sheetData>
    <row r="1" spans="1:16" ht="10.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8.25" customHeight="1" x14ac:dyDescent="0.15">
      <c r="A2" s="46"/>
      <c r="B2" s="45"/>
      <c r="C2" s="23"/>
      <c r="D2" s="23"/>
      <c r="E2" s="664" t="s">
        <v>317</v>
      </c>
      <c r="F2" s="664"/>
      <c r="G2" s="664"/>
      <c r="H2" s="664"/>
      <c r="I2" s="664"/>
      <c r="J2" s="664"/>
      <c r="K2" s="664"/>
      <c r="L2" s="664"/>
      <c r="M2" s="664"/>
      <c r="N2" s="664"/>
      <c r="O2" s="665"/>
      <c r="P2" s="47"/>
    </row>
    <row r="3" spans="1:16" ht="60" customHeight="1" x14ac:dyDescent="0.15">
      <c r="A3" s="46"/>
      <c r="B3" s="668"/>
      <c r="C3" s="669"/>
      <c r="D3" s="38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7"/>
      <c r="P3" s="47"/>
    </row>
    <row r="4" spans="1:16" ht="6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27" customHeight="1" x14ac:dyDescent="0.15">
      <c r="A5" s="46"/>
      <c r="B5" s="659" t="s">
        <v>50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1"/>
      <c r="P5" s="47"/>
    </row>
    <row r="6" spans="1:16" ht="5.25" customHeight="1" x14ac:dyDescent="0.15">
      <c r="A6" s="46"/>
      <c r="B6" s="24"/>
      <c r="O6" s="26"/>
      <c r="P6" s="47"/>
    </row>
    <row r="7" spans="1:16" ht="12" customHeight="1" x14ac:dyDescent="0.15">
      <c r="A7" s="46"/>
      <c r="B7" s="24"/>
      <c r="C7" s="677">
        <v>1</v>
      </c>
      <c r="D7" s="674" t="s">
        <v>31</v>
      </c>
      <c r="E7" s="675"/>
      <c r="F7" s="675"/>
      <c r="G7" s="675"/>
      <c r="H7" s="675"/>
      <c r="I7" s="675"/>
      <c r="J7" s="675"/>
      <c r="K7" s="675"/>
      <c r="L7" s="675"/>
      <c r="M7" s="675"/>
      <c r="N7" s="676"/>
      <c r="O7" s="26"/>
      <c r="P7" s="47"/>
    </row>
    <row r="8" spans="1:16" ht="12" customHeight="1" x14ac:dyDescent="0.15">
      <c r="A8" s="46"/>
      <c r="B8" s="24"/>
      <c r="C8" s="673"/>
      <c r="D8" s="670"/>
      <c r="E8" s="671"/>
      <c r="F8" s="671"/>
      <c r="G8" s="671"/>
      <c r="H8" s="671"/>
      <c r="I8" s="671"/>
      <c r="J8" s="671"/>
      <c r="K8" s="671"/>
      <c r="L8" s="671"/>
      <c r="M8" s="671"/>
      <c r="N8" s="672"/>
      <c r="O8" s="26"/>
      <c r="P8" s="47"/>
    </row>
    <row r="9" spans="1:16" ht="12" customHeight="1" x14ac:dyDescent="0.15">
      <c r="A9" s="46"/>
      <c r="B9" s="24"/>
      <c r="C9" s="639">
        <v>2</v>
      </c>
      <c r="D9" s="653" t="s">
        <v>30</v>
      </c>
      <c r="E9" s="654"/>
      <c r="F9" s="654"/>
      <c r="G9" s="654"/>
      <c r="H9" s="654"/>
      <c r="I9" s="654"/>
      <c r="J9" s="654"/>
      <c r="K9" s="654"/>
      <c r="L9" s="654"/>
      <c r="M9" s="654"/>
      <c r="N9" s="655"/>
      <c r="O9" s="26"/>
      <c r="P9" s="47"/>
    </row>
    <row r="10" spans="1:16" ht="12" customHeight="1" x14ac:dyDescent="0.15">
      <c r="A10" s="46"/>
      <c r="B10" s="24"/>
      <c r="C10" s="673"/>
      <c r="D10" s="670"/>
      <c r="E10" s="671"/>
      <c r="F10" s="671"/>
      <c r="G10" s="671"/>
      <c r="H10" s="671"/>
      <c r="I10" s="671"/>
      <c r="J10" s="671"/>
      <c r="K10" s="671"/>
      <c r="L10" s="671"/>
      <c r="M10" s="671"/>
      <c r="N10" s="672"/>
      <c r="O10" s="26"/>
      <c r="P10" s="47"/>
    </row>
    <row r="11" spans="1:16" ht="12" customHeight="1" x14ac:dyDescent="0.15">
      <c r="A11" s="46"/>
      <c r="B11" s="24"/>
      <c r="C11" s="639">
        <v>3</v>
      </c>
      <c r="D11" s="653" t="s">
        <v>32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5"/>
      <c r="O11" s="26"/>
      <c r="P11" s="47"/>
    </row>
    <row r="12" spans="1:16" ht="12" customHeight="1" thickBot="1" x14ac:dyDescent="0.2">
      <c r="A12" s="46"/>
      <c r="B12" s="24"/>
      <c r="C12" s="640"/>
      <c r="D12" s="656"/>
      <c r="E12" s="657"/>
      <c r="F12" s="657"/>
      <c r="G12" s="657"/>
      <c r="H12" s="657"/>
      <c r="I12" s="657"/>
      <c r="J12" s="657"/>
      <c r="K12" s="657"/>
      <c r="L12" s="657"/>
      <c r="M12" s="657"/>
      <c r="N12" s="658"/>
      <c r="O12" s="26"/>
      <c r="P12" s="47"/>
    </row>
    <row r="13" spans="1:16" ht="5.25" customHeight="1" thickTop="1" x14ac:dyDescent="0.15">
      <c r="A13" s="46"/>
      <c r="B13" s="24"/>
      <c r="O13" s="26"/>
      <c r="P13" s="47"/>
    </row>
    <row r="14" spans="1:16" ht="34.5" customHeight="1" x14ac:dyDescent="0.15">
      <c r="A14" s="46"/>
      <c r="B14" s="24"/>
      <c r="C14" s="641" t="s">
        <v>300</v>
      </c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26"/>
      <c r="P14" s="47"/>
    </row>
    <row r="15" spans="1:16" ht="6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ht="15" customHeight="1" x14ac:dyDescent="0.15">
      <c r="A16" s="46"/>
      <c r="B16" s="30"/>
      <c r="C16" s="39">
        <v>1</v>
      </c>
      <c r="D16" s="201">
        <f>VLOOKUP(C16,' Datos de Organizadores '!A3:M10,11)</f>
        <v>44906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47"/>
    </row>
    <row r="17" spans="1:16" ht="18" customHeight="1" x14ac:dyDescent="0.15">
      <c r="A17" s="46"/>
      <c r="B17" s="30"/>
      <c r="C17" s="643" t="s">
        <v>25</v>
      </c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5"/>
      <c r="O17" s="30"/>
      <c r="P17" s="47"/>
    </row>
    <row r="18" spans="1:16" ht="24.5" customHeight="1" x14ac:dyDescent="0.15">
      <c r="A18" s="46"/>
      <c r="B18" s="659" t="str">
        <f>VLOOKUP(C16,' Datos de Organizadores '!A3:J10,2)</f>
        <v>MEMORIAL PACO MELERO</v>
      </c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1"/>
      <c r="P18" s="47"/>
    </row>
    <row r="19" spans="1:16" ht="6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 ht="18" customHeight="1" x14ac:dyDescent="0.15">
      <c r="A20" s="46"/>
      <c r="B20" s="30"/>
      <c r="C20" s="649" t="s">
        <v>23</v>
      </c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30"/>
      <c r="P20" s="47"/>
    </row>
    <row r="21" spans="1:16" ht="18" customHeight="1" x14ac:dyDescent="0.15">
      <c r="A21" s="46"/>
      <c r="B21" s="662" t="s">
        <v>47</v>
      </c>
      <c r="C21" s="44" t="s">
        <v>44</v>
      </c>
      <c r="D21" s="642" t="str">
        <f>VLOOKUP(C16,' Datos de Organizadores '!A3:J11,3)</f>
        <v>FEDERACIÓN ANDALUZA DE AUTOMOVILISMO</v>
      </c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47"/>
    </row>
    <row r="22" spans="1:16" ht="18" customHeight="1" x14ac:dyDescent="0.15">
      <c r="A22" s="46"/>
      <c r="B22" s="662"/>
      <c r="C22" s="44" t="s">
        <v>2</v>
      </c>
      <c r="D22" s="642" t="str">
        <f>VLOOKUP(C16,' Datos de Organizadores '!A3:J11,4)</f>
        <v>C/ Sto. Domingo, nº 22 Local 1- Edif. Almería</v>
      </c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47"/>
    </row>
    <row r="23" spans="1:16" ht="18" customHeight="1" x14ac:dyDescent="0.15">
      <c r="A23" s="46"/>
      <c r="B23" s="662"/>
      <c r="C23" s="44" t="s">
        <v>45</v>
      </c>
      <c r="D23" s="40" t="str">
        <f>VLOOKUP(C16,' Datos de Organizadores '!A3:J11,5)</f>
        <v xml:space="preserve">11402 </v>
      </c>
      <c r="E23" s="42" t="s">
        <v>21</v>
      </c>
      <c r="F23" s="663" t="str">
        <f>VLOOKUP(C16,' Datos de Organizadores '!A3:J11,6)</f>
        <v>Jerez de la Frontera</v>
      </c>
      <c r="G23" s="663"/>
      <c r="H23" s="663"/>
      <c r="I23" s="663"/>
      <c r="J23" s="663"/>
      <c r="K23" s="663"/>
      <c r="L23" s="663"/>
      <c r="M23" s="663"/>
      <c r="N23" s="663"/>
      <c r="O23" s="663"/>
      <c r="P23" s="47"/>
    </row>
    <row r="24" spans="1:16" ht="18" customHeight="1" x14ac:dyDescent="0.15">
      <c r="A24" s="46"/>
      <c r="B24" s="662"/>
      <c r="C24" s="44" t="s">
        <v>28</v>
      </c>
      <c r="D24" s="663" t="str">
        <f>IF(VLOOKUP($C$16,' Datos de Organizadores '!$A$3:$J$11,7)&lt;&gt;0,"("&amp;(VLOOKUP($C$16,' Datos de Organizadores '!$A$3:$J$11,7)&amp;")"),"")</f>
        <v>(CADIZ)</v>
      </c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47"/>
    </row>
    <row r="25" spans="1:16" ht="18" customHeight="1" x14ac:dyDescent="0.15">
      <c r="A25" s="46"/>
      <c r="B25" s="662"/>
      <c r="C25" s="44" t="s">
        <v>17</v>
      </c>
      <c r="D25" s="41" t="str">
        <f>VLOOKUP(C16,' Datos de Organizadores '!A3:J11,8)</f>
        <v>956 038 586</v>
      </c>
      <c r="E25" s="43" t="s">
        <v>269</v>
      </c>
      <c r="F25" s="41">
        <f>VLOOKUP(C16,' Datos de Organizadores '!A3:J9,9)</f>
        <v>0</v>
      </c>
      <c r="G25" s="43" t="s">
        <v>18</v>
      </c>
      <c r="H25" s="651" t="str">
        <f>VLOOKUP(C16,' Datos de Organizadores '!A3:J11,10)</f>
        <v>administracion@faa.net</v>
      </c>
      <c r="I25" s="652"/>
      <c r="J25" s="652"/>
      <c r="K25" s="652"/>
      <c r="L25" s="652"/>
      <c r="M25" s="652"/>
      <c r="N25" s="652"/>
      <c r="O25" s="652"/>
      <c r="P25" s="47"/>
    </row>
    <row r="26" spans="1:16" ht="6" customHeight="1" x14ac:dyDescent="0.15">
      <c r="A26" s="4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/>
    </row>
    <row r="27" spans="1:16" ht="15.75" customHeight="1" x14ac:dyDescent="0.15">
      <c r="A27" s="46"/>
      <c r="B27" s="30"/>
      <c r="C27" s="646" t="s">
        <v>15</v>
      </c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30"/>
      <c r="P27" s="47"/>
    </row>
    <row r="28" spans="1:16" ht="20" customHeight="1" x14ac:dyDescent="0.15">
      <c r="A28" s="46"/>
      <c r="B28" s="630" t="s">
        <v>48</v>
      </c>
      <c r="C28" s="636" t="s">
        <v>16</v>
      </c>
      <c r="D28" s="636"/>
      <c r="E28" s="636"/>
      <c r="F28" s="636"/>
      <c r="G28" s="636"/>
      <c r="H28" s="636"/>
      <c r="I28" s="637"/>
      <c r="J28" s="638" t="s">
        <v>188</v>
      </c>
      <c r="K28" s="638"/>
      <c r="L28" s="638"/>
      <c r="M28" s="638" t="s">
        <v>189</v>
      </c>
      <c r="N28" s="638"/>
      <c r="O28" s="638"/>
      <c r="P28" s="47"/>
    </row>
    <row r="29" spans="1:16" ht="20" customHeight="1" x14ac:dyDescent="0.15">
      <c r="A29" s="46"/>
      <c r="B29" s="630"/>
      <c r="C29" s="625" t="s">
        <v>223</v>
      </c>
      <c r="D29" s="626"/>
      <c r="E29" s="626"/>
      <c r="F29" s="626"/>
      <c r="G29" s="626"/>
      <c r="H29" s="626"/>
      <c r="I29" s="626"/>
      <c r="J29" s="632">
        <f>VLOOKUP($C$16,' Datos de Organizadores '!$A$3:$M$10,13)</f>
        <v>125</v>
      </c>
      <c r="K29" s="633"/>
      <c r="L29" s="633"/>
      <c r="M29" s="632">
        <f>Derechos1+50</f>
        <v>175</v>
      </c>
      <c r="N29" s="633"/>
      <c r="O29" s="633"/>
      <c r="P29" s="47"/>
    </row>
    <row r="30" spans="1:16" ht="18" hidden="1" customHeight="1" x14ac:dyDescent="0.15">
      <c r="A30" s="46"/>
      <c r="B30" s="630"/>
      <c r="C30" s="627" t="s">
        <v>46</v>
      </c>
      <c r="D30" s="627"/>
      <c r="E30" s="627"/>
      <c r="F30" s="627"/>
      <c r="G30" s="627"/>
      <c r="H30" s="627"/>
      <c r="I30" s="627"/>
      <c r="J30" s="632">
        <v>0</v>
      </c>
      <c r="K30" s="633"/>
      <c r="L30" s="633"/>
      <c r="M30" s="633"/>
      <c r="N30" s="633"/>
      <c r="O30" s="633"/>
      <c r="P30" s="47"/>
    </row>
    <row r="31" spans="1:16" ht="18" customHeight="1" x14ac:dyDescent="0.15">
      <c r="A31" s="46"/>
      <c r="B31" s="630"/>
      <c r="C31" s="627" t="s">
        <v>266</v>
      </c>
      <c r="D31" s="627"/>
      <c r="E31" s="627"/>
      <c r="F31" s="627"/>
      <c r="G31" s="627"/>
      <c r="H31" s="627"/>
      <c r="I31" s="627"/>
      <c r="J31" s="634">
        <f>VLOOKUP($C$16,' Datos de Organizadores '!$A$3:$M$10,12)</f>
        <v>44900</v>
      </c>
      <c r="K31" s="634"/>
      <c r="L31" s="635"/>
      <c r="M31" s="622"/>
      <c r="N31" s="623"/>
      <c r="O31" s="624"/>
      <c r="P31" s="47"/>
    </row>
    <row r="32" spans="1:16" ht="18" hidden="1" customHeight="1" x14ac:dyDescent="0.15">
      <c r="A32" s="46"/>
      <c r="B32" s="630"/>
      <c r="C32" s="627"/>
      <c r="D32" s="627"/>
      <c r="E32" s="627"/>
      <c r="F32" s="627"/>
      <c r="G32" s="627"/>
      <c r="H32" s="627"/>
      <c r="I32" s="627"/>
      <c r="J32" s="631">
        <v>0</v>
      </c>
      <c r="K32" s="631"/>
      <c r="L32" s="632"/>
      <c r="M32" s="622"/>
      <c r="N32" s="623"/>
      <c r="O32" s="624"/>
      <c r="P32" s="47"/>
    </row>
    <row r="33" spans="1:16" ht="6.7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6" ht="20" customHeight="1" x14ac:dyDescent="0.15">
      <c r="A34" s="46"/>
      <c r="B34" s="628" t="s">
        <v>49</v>
      </c>
      <c r="C34" s="629"/>
      <c r="D34" s="629"/>
      <c r="E34" s="629"/>
      <c r="F34" s="629"/>
      <c r="G34" s="629"/>
      <c r="H34" s="66" t="s">
        <v>262</v>
      </c>
      <c r="I34" s="620" t="s">
        <v>265</v>
      </c>
      <c r="J34" s="621"/>
      <c r="K34" s="67" t="s">
        <v>264</v>
      </c>
      <c r="L34" s="620" t="s">
        <v>263</v>
      </c>
      <c r="M34" s="621"/>
      <c r="N34" s="621"/>
      <c r="O34" s="621"/>
      <c r="P34" s="47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60" zoomScaleNormal="16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baseColWidth="10" defaultRowHeight="13" x14ac:dyDescent="0.15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98" customWidth="1"/>
    <col min="8" max="9" width="13.6640625" style="198" customWidth="1"/>
    <col min="10" max="10" width="30.83203125" style="198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4" customWidth="1"/>
    <col min="17" max="17" width="13.1640625" style="35" customWidth="1"/>
    <col min="18" max="18" width="18.33203125" style="34" customWidth="1"/>
    <col min="19" max="19" width="16.5" style="34" customWidth="1"/>
    <col min="20" max="20" width="19.5" customWidth="1"/>
    <col min="22" max="22" width="11.5" style="168" customWidth="1"/>
    <col min="23" max="23" width="12.33203125" style="168" bestFit="1" customWidth="1"/>
  </cols>
  <sheetData>
    <row r="1" spans="1:23" ht="30" customHeight="1" x14ac:dyDescent="0.15">
      <c r="A1" s="678" t="s">
        <v>33</v>
      </c>
      <c r="B1" s="678"/>
      <c r="C1" s="678"/>
      <c r="D1" s="678"/>
      <c r="E1" s="678"/>
      <c r="F1" s="678"/>
      <c r="G1" s="678"/>
      <c r="H1" s="678"/>
      <c r="I1" s="678"/>
      <c r="J1" s="678"/>
      <c r="K1" s="679" t="s">
        <v>170</v>
      </c>
      <c r="L1" s="680"/>
      <c r="M1" s="681"/>
      <c r="N1" s="87"/>
      <c r="O1" s="87"/>
    </row>
    <row r="2" spans="1:23" s="3" customFormat="1" ht="18" customHeight="1" x14ac:dyDescent="0.15">
      <c r="A2" s="182" t="s">
        <v>24</v>
      </c>
      <c r="B2" s="182" t="s">
        <v>25</v>
      </c>
      <c r="C2" s="182" t="s">
        <v>26</v>
      </c>
      <c r="D2" s="182" t="s">
        <v>2</v>
      </c>
      <c r="E2" s="182" t="s">
        <v>27</v>
      </c>
      <c r="F2" s="182" t="s">
        <v>20</v>
      </c>
      <c r="G2" s="195" t="s">
        <v>28</v>
      </c>
      <c r="H2" s="195" t="s">
        <v>17</v>
      </c>
      <c r="I2" s="195" t="s">
        <v>22</v>
      </c>
      <c r="J2" s="195" t="s">
        <v>29</v>
      </c>
      <c r="K2" s="182" t="s">
        <v>187</v>
      </c>
      <c r="L2" s="182" t="s">
        <v>188</v>
      </c>
      <c r="M2" s="182" t="s">
        <v>301</v>
      </c>
      <c r="N2" s="88"/>
      <c r="O2" s="88"/>
      <c r="P2" s="36"/>
      <c r="Q2" s="37"/>
      <c r="R2" s="36"/>
      <c r="S2" s="36"/>
      <c r="V2" s="169"/>
      <c r="W2" s="169"/>
    </row>
    <row r="3" spans="1:23" s="181" customFormat="1" ht="15.75" customHeight="1" x14ac:dyDescent="0.2">
      <c r="A3" s="179">
        <v>1</v>
      </c>
      <c r="B3" s="233" t="s">
        <v>416</v>
      </c>
      <c r="C3" s="184" t="s">
        <v>417</v>
      </c>
      <c r="D3" s="224" t="s">
        <v>418</v>
      </c>
      <c r="E3" s="186" t="s">
        <v>419</v>
      </c>
      <c r="F3" s="184" t="s">
        <v>420</v>
      </c>
      <c r="G3" s="184" t="s">
        <v>306</v>
      </c>
      <c r="H3" s="224" t="s">
        <v>421</v>
      </c>
      <c r="I3" s="187"/>
      <c r="J3" s="237" t="s">
        <v>422</v>
      </c>
      <c r="K3" s="235">
        <v>44906</v>
      </c>
      <c r="L3" s="236">
        <f>K3-6</f>
        <v>44900</v>
      </c>
      <c r="M3" s="179">
        <v>125</v>
      </c>
      <c r="N3" s="178"/>
      <c r="O3" s="178"/>
      <c r="P3" s="177">
        <f>' Derechos de Inscripción '!C16</f>
        <v>1</v>
      </c>
      <c r="Q3" s="177" t="s">
        <v>38</v>
      </c>
      <c r="R3" s="177"/>
      <c r="S3" s="177"/>
    </row>
    <row r="4" spans="1:23" s="181" customFormat="1" ht="15.75" customHeight="1" x14ac:dyDescent="0.2">
      <c r="A4" s="179">
        <v>2</v>
      </c>
      <c r="B4" s="183"/>
      <c r="C4" s="184"/>
      <c r="D4" s="224"/>
      <c r="E4" s="186"/>
      <c r="F4" s="184"/>
      <c r="G4" s="184"/>
      <c r="H4" s="224"/>
      <c r="I4" s="187"/>
      <c r="J4" s="237"/>
      <c r="K4" s="238">
        <v>43569</v>
      </c>
      <c r="L4" s="239">
        <v>43563</v>
      </c>
      <c r="M4" s="179">
        <v>200</v>
      </c>
      <c r="N4" s="178"/>
      <c r="O4" s="178"/>
      <c r="P4" s="179">
        <v>1</v>
      </c>
      <c r="Q4" s="177" t="s">
        <v>39</v>
      </c>
      <c r="R4" s="177">
        <v>0</v>
      </c>
      <c r="S4" s="177"/>
      <c r="T4" s="181" t="str">
        <f>IF(Blanco=TRUE,"¡¡¡ ATENCIÓN !!! DATOS OCULTOS","ESTADO NORMAL (Todos los datos visibles)")</f>
        <v>ESTADO NORMAL (Todos los datos visibles)</v>
      </c>
    </row>
    <row r="5" spans="1:23" s="181" customFormat="1" ht="15.75" customHeight="1" x14ac:dyDescent="0.2">
      <c r="A5" s="179">
        <v>3</v>
      </c>
      <c r="B5" s="240"/>
      <c r="C5" s="228"/>
      <c r="D5" s="228"/>
      <c r="E5" s="229"/>
      <c r="F5" s="228"/>
      <c r="G5" s="228"/>
      <c r="H5" s="230"/>
      <c r="I5" s="231"/>
      <c r="J5" s="232"/>
      <c r="K5" s="238">
        <v>43590</v>
      </c>
      <c r="L5" s="239">
        <v>43553</v>
      </c>
      <c r="M5" s="179">
        <v>200</v>
      </c>
      <c r="N5" s="178"/>
      <c r="O5" s="178"/>
      <c r="P5" s="177" t="b">
        <v>0</v>
      </c>
      <c r="Q5" s="177" t="s">
        <v>35</v>
      </c>
      <c r="R5" s="177" t="b">
        <f>IF(Blanco=TRUE,FALSE,IF(Shakedown=TRUE,#N/A,FALSE))</f>
        <v>0</v>
      </c>
      <c r="S5" s="177"/>
      <c r="T5" s="181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81" customFormat="1" ht="15.75" customHeight="1" x14ac:dyDescent="0.2">
      <c r="A6" s="179">
        <v>4</v>
      </c>
      <c r="B6" s="183"/>
      <c r="C6" s="189"/>
      <c r="D6" s="189"/>
      <c r="E6" s="189"/>
      <c r="F6" s="184"/>
      <c r="G6" s="189"/>
      <c r="H6" s="189"/>
      <c r="I6" s="189"/>
      <c r="J6" s="223"/>
      <c r="K6" s="238">
        <v>43639</v>
      </c>
      <c r="L6" s="239">
        <v>43633</v>
      </c>
      <c r="M6" s="179">
        <v>200</v>
      </c>
      <c r="N6" s="178"/>
      <c r="O6" s="178"/>
      <c r="P6" s="177"/>
      <c r="Q6" s="177"/>
      <c r="R6" s="177"/>
      <c r="S6" s="177"/>
    </row>
    <row r="7" spans="1:23" s="181" customFormat="1" ht="15.75" customHeight="1" x14ac:dyDescent="0.2">
      <c r="A7" s="179">
        <v>5</v>
      </c>
      <c r="B7" s="183"/>
      <c r="C7" s="189"/>
      <c r="D7" s="189"/>
      <c r="E7" s="189"/>
      <c r="F7" s="184"/>
      <c r="G7" s="189"/>
      <c r="H7" s="189"/>
      <c r="I7" s="189"/>
      <c r="J7" s="241"/>
      <c r="K7" s="235">
        <v>43736</v>
      </c>
      <c r="L7" s="239">
        <v>43731</v>
      </c>
      <c r="M7" s="181">
        <v>200</v>
      </c>
      <c r="N7" s="178"/>
      <c r="O7" s="178"/>
      <c r="P7" s="177" t="b">
        <v>0</v>
      </c>
      <c r="Q7" s="177" t="s">
        <v>36</v>
      </c>
      <c r="R7" s="177" t="b">
        <f>IF(Blanco=TRUE,FALSE,IF(Ouvreur=TRUE,#N/A,FALSE))</f>
        <v>0</v>
      </c>
      <c r="S7" s="177"/>
    </row>
    <row r="8" spans="1:23" s="181" customFormat="1" ht="15.75" customHeight="1" x14ac:dyDescent="0.2">
      <c r="A8" s="179">
        <v>6</v>
      </c>
      <c r="B8" s="183"/>
      <c r="C8" s="189"/>
      <c r="D8" s="189"/>
      <c r="E8" s="189"/>
      <c r="F8" s="184"/>
      <c r="G8" s="189"/>
      <c r="H8" s="189"/>
      <c r="I8" s="189"/>
      <c r="J8" s="223"/>
      <c r="K8" s="235">
        <v>43758</v>
      </c>
      <c r="L8" s="239">
        <v>43752</v>
      </c>
      <c r="M8" s="179">
        <v>200</v>
      </c>
      <c r="N8" s="178"/>
      <c r="O8" s="178"/>
      <c r="P8" s="177" t="b">
        <v>0</v>
      </c>
      <c r="Q8" s="177" t="s">
        <v>37</v>
      </c>
      <c r="R8" s="177" t="b">
        <f>IF(Blanco=TRUE,FALSE,IF(Auxiliar=TRUE,#N/A,FALSE))</f>
        <v>0</v>
      </c>
      <c r="S8" s="177"/>
    </row>
    <row r="9" spans="1:23" s="181" customFormat="1" ht="15.75" customHeight="1" x14ac:dyDescent="0.2">
      <c r="A9" s="179">
        <v>7</v>
      </c>
      <c r="B9" s="214"/>
      <c r="C9" s="227"/>
      <c r="D9" s="227"/>
      <c r="E9" s="227"/>
      <c r="F9" s="227"/>
      <c r="G9" s="227"/>
      <c r="H9" s="227"/>
      <c r="I9" s="227"/>
      <c r="J9" s="227"/>
      <c r="K9" s="238">
        <v>43779</v>
      </c>
      <c r="L9" s="239">
        <v>43773</v>
      </c>
      <c r="M9" s="179">
        <v>200</v>
      </c>
      <c r="N9" s="180"/>
      <c r="O9" s="180"/>
      <c r="P9" s="177" t="b">
        <v>0</v>
      </c>
      <c r="Q9" s="177" t="s">
        <v>226</v>
      </c>
      <c r="R9" s="177" t="b">
        <f>IF(Blanco=TRUE,FALSE,IF(Trofeo7=TRUE,#N/A,FALSE))</f>
        <v>0</v>
      </c>
      <c r="S9" s="177"/>
    </row>
    <row r="10" spans="1:23" s="181" customFormat="1" ht="15.75" customHeight="1" x14ac:dyDescent="0.2">
      <c r="A10" s="179">
        <v>8</v>
      </c>
      <c r="B10" s="183"/>
      <c r="C10" s="184"/>
      <c r="D10" s="184"/>
      <c r="E10" s="186"/>
      <c r="F10" s="184"/>
      <c r="G10" s="184"/>
      <c r="H10" s="183"/>
      <c r="I10" s="189"/>
      <c r="J10" s="226"/>
      <c r="K10" s="242">
        <v>43793</v>
      </c>
      <c r="L10" s="239">
        <v>43787</v>
      </c>
      <c r="M10" s="181">
        <v>200</v>
      </c>
      <c r="N10" s="180"/>
      <c r="O10" s="180"/>
      <c r="P10" s="177" t="b">
        <v>1</v>
      </c>
      <c r="Q10" s="177" t="s">
        <v>227</v>
      </c>
      <c r="R10" s="177" t="e">
        <f>IF(Blanco=TRUE,FALSE,IF(Trofeo8=TRUE,#N/A,FALSE))</f>
        <v>#N/A</v>
      </c>
      <c r="S10" s="177"/>
    </row>
    <row r="11" spans="1:23" ht="15.75" customHeight="1" x14ac:dyDescent="0.2">
      <c r="A11" s="179">
        <v>9</v>
      </c>
      <c r="B11" s="233"/>
      <c r="C11" s="184"/>
      <c r="D11" s="224"/>
      <c r="E11" s="186"/>
      <c r="F11" s="184"/>
      <c r="G11" s="184"/>
      <c r="H11" s="224"/>
      <c r="I11" s="187"/>
      <c r="J11" s="225"/>
      <c r="K11" s="235">
        <v>43814</v>
      </c>
      <c r="L11" s="239">
        <v>43808</v>
      </c>
      <c r="M11" s="181">
        <v>200</v>
      </c>
      <c r="N11" s="71"/>
      <c r="O11" s="71"/>
      <c r="P11" s="34" t="b">
        <v>0</v>
      </c>
      <c r="Q11" s="35" t="s">
        <v>167</v>
      </c>
      <c r="R11" s="34" t="b">
        <f>IF(Blanco=TRUE,FALSE,IF(Trofeo9=TRUE,#N/A,FALSE))</f>
        <v>0</v>
      </c>
    </row>
    <row r="12" spans="1:23" ht="15.75" customHeight="1" x14ac:dyDescent="0.15">
      <c r="A12" s="68"/>
      <c r="K12" s="71"/>
      <c r="L12" s="71"/>
      <c r="M12" s="71"/>
      <c r="N12" s="71"/>
      <c r="O12" s="71"/>
      <c r="P12" s="34" t="b">
        <v>0</v>
      </c>
      <c r="Q12" s="35" t="s">
        <v>168</v>
      </c>
      <c r="R12" s="34" t="b">
        <f>IF(Blanco=TRUE,FALSE,IF(Trofeo10=TRUE,#N/A,FALSE))</f>
        <v>0</v>
      </c>
    </row>
    <row r="13" spans="1:23" x14ac:dyDescent="0.15">
      <c r="C13" s="69"/>
      <c r="D13" s="69"/>
      <c r="E13" s="70"/>
      <c r="F13" s="69"/>
      <c r="G13" s="196"/>
      <c r="H13" s="196"/>
      <c r="I13" s="196"/>
      <c r="J13" s="197"/>
      <c r="L13" s="102" t="s">
        <v>209</v>
      </c>
      <c r="P13" s="34" t="b">
        <v>0</v>
      </c>
      <c r="Q13" s="35" t="s">
        <v>40</v>
      </c>
      <c r="R13" s="34" t="b">
        <f>IF(Blanco=TRUE,FALSE,IF(España=TRUE,#N/A,FALSE))</f>
        <v>0</v>
      </c>
    </row>
    <row r="14" spans="1:23" x14ac:dyDescent="0.15">
      <c r="L14" s="102" t="s">
        <v>41</v>
      </c>
      <c r="P14" s="34" t="b">
        <v>0</v>
      </c>
      <c r="Q14" s="35" t="s">
        <v>41</v>
      </c>
      <c r="R14" s="34" t="b">
        <f>IF(Blanco=TRUE,FALSE,IF(Autonomico=TRUE,#N/A,FALSE))</f>
        <v>0</v>
      </c>
    </row>
    <row r="15" spans="1:23" x14ac:dyDescent="0.15">
      <c r="L15" s="102" t="s">
        <v>208</v>
      </c>
      <c r="P15" s="34" t="b">
        <v>0</v>
      </c>
      <c r="Q15" s="35" t="s">
        <v>42</v>
      </c>
      <c r="R15" s="34" t="b">
        <f>IF(Blanco=TRUE,FALSE,IF(Clasicos=TRUE,#N/A,FALSE))</f>
        <v>0</v>
      </c>
    </row>
    <row r="16" spans="1:23" x14ac:dyDescent="0.15">
      <c r="P16" s="101" t="b">
        <v>0</v>
      </c>
      <c r="Q16" s="35" t="s">
        <v>54</v>
      </c>
    </row>
    <row r="17" spans="2:24" ht="15" x14ac:dyDescent="0.2">
      <c r="B17" s="183" t="s">
        <v>364</v>
      </c>
      <c r="C17" s="189" t="s">
        <v>365</v>
      </c>
      <c r="D17" s="189" t="s">
        <v>366</v>
      </c>
      <c r="E17" s="189">
        <v>23680</v>
      </c>
      <c r="F17" s="184" t="s">
        <v>367</v>
      </c>
      <c r="G17" s="189" t="s">
        <v>368</v>
      </c>
      <c r="H17" s="189">
        <v>615050713</v>
      </c>
      <c r="I17" s="189">
        <v>953582704</v>
      </c>
      <c r="J17" s="223" t="s">
        <v>369</v>
      </c>
      <c r="K17" s="89" t="s">
        <v>363</v>
      </c>
      <c r="P17" s="34" t="b">
        <v>0</v>
      </c>
      <c r="Q17" s="35" t="s">
        <v>169</v>
      </c>
      <c r="R17" s="34" t="str">
        <f>IF(IVA=TRUE,16/100,"")</f>
        <v/>
      </c>
    </row>
    <row r="18" spans="2:24" ht="15" x14ac:dyDescent="0.2">
      <c r="B18" s="183" t="s">
        <v>370</v>
      </c>
      <c r="C18" s="184" t="s">
        <v>310</v>
      </c>
      <c r="D18" s="224" t="s">
        <v>311</v>
      </c>
      <c r="E18" s="186" t="s">
        <v>312</v>
      </c>
      <c r="F18" s="184" t="s">
        <v>304</v>
      </c>
      <c r="G18" s="184" t="s">
        <v>214</v>
      </c>
      <c r="H18" s="224">
        <v>651863982</v>
      </c>
      <c r="I18" s="187"/>
      <c r="J18" s="225" t="s">
        <v>313</v>
      </c>
      <c r="K18" s="178" t="s">
        <v>354</v>
      </c>
      <c r="P18" s="34">
        <v>2</v>
      </c>
      <c r="Q18" s="35" t="s">
        <v>43</v>
      </c>
    </row>
    <row r="19" spans="2:24" ht="15" x14ac:dyDescent="0.2">
      <c r="B19" s="183" t="s">
        <v>371</v>
      </c>
      <c r="C19" s="184" t="s">
        <v>372</v>
      </c>
      <c r="D19" s="185" t="s">
        <v>373</v>
      </c>
      <c r="E19" s="186" t="s">
        <v>374</v>
      </c>
      <c r="F19" s="184" t="s">
        <v>375</v>
      </c>
      <c r="G19" s="184" t="s">
        <v>309</v>
      </c>
      <c r="H19" s="185" t="s">
        <v>376</v>
      </c>
      <c r="I19" s="187"/>
      <c r="J19" s="225" t="s">
        <v>377</v>
      </c>
      <c r="K19" s="89" t="s">
        <v>355</v>
      </c>
    </row>
    <row r="20" spans="2:24" ht="15" x14ac:dyDescent="0.2">
      <c r="B20" s="183" t="s">
        <v>378</v>
      </c>
      <c r="C20" s="184" t="s">
        <v>379</v>
      </c>
      <c r="D20" s="184" t="s">
        <v>380</v>
      </c>
      <c r="E20" s="186" t="s">
        <v>381</v>
      </c>
      <c r="F20" s="184" t="s">
        <v>382</v>
      </c>
      <c r="G20" s="184" t="s">
        <v>214</v>
      </c>
      <c r="H20" s="183" t="s">
        <v>383</v>
      </c>
      <c r="I20" s="189"/>
      <c r="J20" s="226" t="s">
        <v>384</v>
      </c>
      <c r="K20" s="89" t="s">
        <v>356</v>
      </c>
      <c r="P20" s="34">
        <v>1</v>
      </c>
      <c r="Q20" s="35">
        <v>1</v>
      </c>
      <c r="R20" s="34" t="s">
        <v>193</v>
      </c>
      <c r="T20" t="s">
        <v>198</v>
      </c>
    </row>
    <row r="21" spans="2:24" ht="15" x14ac:dyDescent="0.2">
      <c r="B21" s="183" t="s">
        <v>385</v>
      </c>
      <c r="C21" s="189" t="s">
        <v>365</v>
      </c>
      <c r="D21" s="189" t="s">
        <v>366</v>
      </c>
      <c r="E21" s="189">
        <v>23680</v>
      </c>
      <c r="F21" s="184" t="s">
        <v>367</v>
      </c>
      <c r="G21" s="189" t="s">
        <v>368</v>
      </c>
      <c r="H21" s="189">
        <v>615050713</v>
      </c>
      <c r="I21" s="189">
        <v>953582704</v>
      </c>
      <c r="J21" s="223" t="s">
        <v>369</v>
      </c>
      <c r="K21" s="181" t="s">
        <v>357</v>
      </c>
      <c r="Q21" s="35">
        <v>2</v>
      </c>
      <c r="R21" s="34" t="s">
        <v>194</v>
      </c>
      <c r="T21" t="s">
        <v>199</v>
      </c>
    </row>
    <row r="22" spans="2:24" ht="15" x14ac:dyDescent="0.2">
      <c r="B22" s="214" t="s">
        <v>386</v>
      </c>
      <c r="C22" s="227" t="s">
        <v>387</v>
      </c>
      <c r="D22" s="227" t="s">
        <v>388</v>
      </c>
      <c r="E22" s="227">
        <v>4260</v>
      </c>
      <c r="F22" s="227" t="s">
        <v>389</v>
      </c>
      <c r="G22" s="227" t="s">
        <v>214</v>
      </c>
      <c r="H22" s="227" t="s">
        <v>390</v>
      </c>
      <c r="I22" s="227"/>
      <c r="J22" s="227" t="s">
        <v>391</v>
      </c>
      <c r="K22" s="178" t="s">
        <v>358</v>
      </c>
      <c r="Q22" s="35">
        <v>3</v>
      </c>
      <c r="R22" s="34" t="s">
        <v>195</v>
      </c>
      <c r="T22" t="s">
        <v>200</v>
      </c>
    </row>
    <row r="23" spans="2:24" ht="15" x14ac:dyDescent="0.15">
      <c r="B23" s="194" t="s">
        <v>392</v>
      </c>
      <c r="C23" s="228" t="s">
        <v>314</v>
      </c>
      <c r="D23" s="228" t="s">
        <v>393</v>
      </c>
      <c r="E23" s="229" t="s">
        <v>307</v>
      </c>
      <c r="F23" s="228" t="s">
        <v>308</v>
      </c>
      <c r="G23" s="228" t="s">
        <v>306</v>
      </c>
      <c r="H23" s="230" t="s">
        <v>315</v>
      </c>
      <c r="I23" s="231"/>
      <c r="J23" s="232" t="s">
        <v>316</v>
      </c>
      <c r="K23" s="89" t="s">
        <v>359</v>
      </c>
      <c r="Q23" s="35">
        <v>4</v>
      </c>
      <c r="R23" s="34" t="s">
        <v>196</v>
      </c>
      <c r="T23" t="s">
        <v>201</v>
      </c>
    </row>
    <row r="24" spans="2:24" ht="15" x14ac:dyDescent="0.2">
      <c r="B24" s="233" t="s">
        <v>394</v>
      </c>
      <c r="C24" s="184" t="s">
        <v>310</v>
      </c>
      <c r="D24" s="224" t="s">
        <v>311</v>
      </c>
      <c r="E24" s="186" t="s">
        <v>312</v>
      </c>
      <c r="F24" s="184" t="s">
        <v>304</v>
      </c>
      <c r="G24" s="184" t="s">
        <v>214</v>
      </c>
      <c r="H24" s="224">
        <v>651863982</v>
      </c>
      <c r="I24" s="187"/>
      <c r="J24" s="225" t="s">
        <v>313</v>
      </c>
      <c r="K24" s="181" t="s">
        <v>360</v>
      </c>
      <c r="M24" s="104" t="b">
        <v>0</v>
      </c>
      <c r="Q24" s="35">
        <v>5</v>
      </c>
      <c r="R24" s="34" t="s">
        <v>197</v>
      </c>
      <c r="T24" t="s">
        <v>202</v>
      </c>
    </row>
    <row r="25" spans="2:24" ht="15" x14ac:dyDescent="0.2">
      <c r="B25" s="214"/>
      <c r="C25" s="184"/>
      <c r="D25" s="192"/>
      <c r="E25" s="186"/>
      <c r="F25" s="184"/>
      <c r="G25" s="184"/>
      <c r="H25" s="192"/>
      <c r="I25" s="187"/>
      <c r="J25" s="193"/>
    </row>
    <row r="26" spans="2:24" ht="15" x14ac:dyDescent="0.2">
      <c r="B26" s="183"/>
      <c r="C26" s="189"/>
      <c r="D26" s="184"/>
      <c r="E26" s="186"/>
      <c r="F26" s="184"/>
      <c r="G26" s="184"/>
      <c r="H26" s="183"/>
      <c r="I26" s="189"/>
      <c r="J26" s="190"/>
    </row>
    <row r="27" spans="2:24" ht="15" x14ac:dyDescent="0.2">
      <c r="B27" s="189"/>
      <c r="C27" s="184"/>
      <c r="D27" s="184"/>
      <c r="E27" s="186"/>
      <c r="F27" s="184"/>
      <c r="G27" s="184"/>
      <c r="H27" s="183"/>
      <c r="I27" s="189"/>
      <c r="J27" s="213"/>
      <c r="N27" s="95">
        <v>2</v>
      </c>
      <c r="O27" s="95" t="s">
        <v>216</v>
      </c>
      <c r="P27" s="95"/>
    </row>
    <row r="28" spans="2:24" ht="15" x14ac:dyDescent="0.2">
      <c r="B28" s="183"/>
      <c r="C28" s="184"/>
      <c r="D28" s="185"/>
      <c r="E28" s="186"/>
      <c r="F28" s="184"/>
      <c r="G28" s="184"/>
      <c r="H28" s="185"/>
      <c r="I28" s="187"/>
      <c r="J28" s="188"/>
      <c r="K28" s="178"/>
      <c r="L28" s="200"/>
      <c r="M28" s="179"/>
      <c r="N28" s="95"/>
      <c r="O28" s="100"/>
      <c r="P28" s="95"/>
    </row>
    <row r="29" spans="2:24" x14ac:dyDescent="0.15">
      <c r="N29" s="95"/>
      <c r="O29" s="100"/>
      <c r="P29" s="95"/>
      <c r="V29" s="111" t="s">
        <v>281</v>
      </c>
      <c r="W29" s="111">
        <v>1</v>
      </c>
      <c r="X29" s="114"/>
    </row>
    <row r="30" spans="2:24" x14ac:dyDescent="0.15">
      <c r="P30" s="96" t="s">
        <v>12</v>
      </c>
      <c r="Q30" s="172" t="s">
        <v>12</v>
      </c>
      <c r="V30" s="114">
        <v>1</v>
      </c>
      <c r="W30" s="220" t="s">
        <v>293</v>
      </c>
      <c r="X30" s="111"/>
    </row>
    <row r="31" spans="2:24" ht="15" x14ac:dyDescent="0.2">
      <c r="B31" s="191"/>
      <c r="C31" s="184"/>
      <c r="D31" s="192"/>
      <c r="E31" s="186"/>
      <c r="F31" s="184"/>
      <c r="G31" s="184"/>
      <c r="H31" s="192"/>
      <c r="I31" s="187"/>
      <c r="J31" s="193"/>
      <c r="K31" s="178"/>
      <c r="L31" s="200"/>
      <c r="M31" s="179"/>
      <c r="P31" s="99">
        <v>1</v>
      </c>
      <c r="Q31" s="173" t="str">
        <f>VLOOKUP(P31,K41:M54,3)</f>
        <v xml:space="preserve"> </v>
      </c>
      <c r="V31" s="114">
        <v>2</v>
      </c>
      <c r="W31" s="114" t="s">
        <v>283</v>
      </c>
      <c r="X31" s="114" t="s">
        <v>211</v>
      </c>
    </row>
    <row r="32" spans="2:24" x14ac:dyDescent="0.15">
      <c r="P32" s="171" t="s">
        <v>274</v>
      </c>
      <c r="V32" s="114">
        <v>3</v>
      </c>
      <c r="W32" s="114" t="s">
        <v>284</v>
      </c>
      <c r="X32" s="114" t="s">
        <v>210</v>
      </c>
    </row>
    <row r="33" spans="2:24" ht="15" x14ac:dyDescent="0.2">
      <c r="B33" s="194"/>
      <c r="C33" s="184"/>
      <c r="D33" s="184"/>
      <c r="E33" s="186"/>
      <c r="F33" s="184"/>
      <c r="G33" s="184"/>
      <c r="H33" s="183"/>
      <c r="I33" s="189"/>
      <c r="J33" s="213"/>
      <c r="K33" s="181"/>
      <c r="L33" s="199"/>
      <c r="M33" s="181"/>
      <c r="P33" s="171">
        <f>VLOOKUP(P31,K41:O54,4)</f>
        <v>0</v>
      </c>
      <c r="V33" s="114">
        <v>4</v>
      </c>
      <c r="W33" s="114" t="s">
        <v>285</v>
      </c>
      <c r="X33" s="114" t="s">
        <v>279</v>
      </c>
    </row>
    <row r="34" spans="2:24" x14ac:dyDescent="0.15">
      <c r="P34" s="110" t="s">
        <v>296</v>
      </c>
      <c r="V34" s="114">
        <v>5</v>
      </c>
      <c r="W34" s="114" t="s">
        <v>286</v>
      </c>
      <c r="X34" s="114" t="s">
        <v>280</v>
      </c>
    </row>
    <row r="35" spans="2:24" x14ac:dyDescent="0.15">
      <c r="P35" s="114">
        <f>IF(cc&lt;=1400,1,IF(cc&lt;=1600,2,IF(cc&lt;=2000,3,IF(cc&lt;=3100,4,5))))</f>
        <v>1</v>
      </c>
      <c r="V35" s="114">
        <v>6</v>
      </c>
      <c r="W35" s="114" t="s">
        <v>287</v>
      </c>
      <c r="X35" s="114" t="s">
        <v>198</v>
      </c>
    </row>
    <row r="36" spans="2:24" x14ac:dyDescent="0.15">
      <c r="P36" s="110" t="s">
        <v>297</v>
      </c>
      <c r="V36" s="114">
        <v>7</v>
      </c>
      <c r="W36" s="114" t="s">
        <v>288</v>
      </c>
      <c r="X36" s="114" t="s">
        <v>199</v>
      </c>
    </row>
    <row r="37" spans="2:24" x14ac:dyDescent="0.15">
      <c r="P37" s="114">
        <f>IF(AGRUP="AGRUPACIÓN I",IF(cc&lt;=1400,1,2),IF(AGRUP="AGRUPACIÓN III",IF(cc&lt;=2000,1,2),DIVISION))</f>
        <v>1</v>
      </c>
      <c r="V37" s="114">
        <v>8</v>
      </c>
      <c r="W37" s="114" t="s">
        <v>289</v>
      </c>
      <c r="X37" s="114" t="s">
        <v>201</v>
      </c>
    </row>
    <row r="38" spans="2:24" x14ac:dyDescent="0.15">
      <c r="P38" s="114" t="s">
        <v>222</v>
      </c>
      <c r="T38" s="65"/>
      <c r="V38" s="114">
        <v>9</v>
      </c>
      <c r="W38" s="114" t="s">
        <v>290</v>
      </c>
      <c r="X38" s="114" t="s">
        <v>217</v>
      </c>
    </row>
    <row r="39" spans="2:24" x14ac:dyDescent="0.15">
      <c r="P39" s="114" t="str">
        <f>IF(P33=0,"",IF(P33="AGRUPACIÓN II",VLOOKUP(P33,$P$41:$U$48,MATCH(DIVISION,$P$40:$U$40,0),0),VLOOKUP(P33,$P$41:$U$48,MATCH(DHF,$P$40:$U$40,0),0)))</f>
        <v/>
      </c>
      <c r="Q39" s="221">
        <v>1400</v>
      </c>
      <c r="R39" s="169">
        <v>1600</v>
      </c>
      <c r="S39" s="169">
        <v>2000</v>
      </c>
      <c r="T39" s="169">
        <v>3100</v>
      </c>
      <c r="U39" s="222" t="s">
        <v>349</v>
      </c>
      <c r="V39" s="114">
        <v>10</v>
      </c>
      <c r="W39" s="114" t="s">
        <v>291</v>
      </c>
      <c r="X39" s="114" t="s">
        <v>218</v>
      </c>
    </row>
    <row r="40" spans="2:24" x14ac:dyDescent="0.15">
      <c r="K40" s="112"/>
      <c r="L40" s="113" t="s">
        <v>12</v>
      </c>
      <c r="M40" s="113"/>
      <c r="N40" s="34"/>
      <c r="P40" s="113"/>
      <c r="Q40" s="128">
        <v>1</v>
      </c>
      <c r="R40" s="128">
        <v>2</v>
      </c>
      <c r="S40" s="128">
        <v>3</v>
      </c>
      <c r="T40" s="129">
        <v>4</v>
      </c>
      <c r="U40" s="129">
        <v>5</v>
      </c>
    </row>
    <row r="41" spans="2:24" x14ac:dyDescent="0.15">
      <c r="K41" s="112">
        <v>1</v>
      </c>
      <c r="L41" s="113" t="s">
        <v>212</v>
      </c>
      <c r="M41" s="113" t="s">
        <v>34</v>
      </c>
      <c r="N41" s="65"/>
      <c r="P41" s="132" t="s">
        <v>413</v>
      </c>
      <c r="Q41" s="113" t="s">
        <v>198</v>
      </c>
      <c r="R41" s="113" t="s">
        <v>199</v>
      </c>
      <c r="S41" s="113" t="s">
        <v>201</v>
      </c>
      <c r="T41" s="234" t="s">
        <v>217</v>
      </c>
      <c r="U41" s="234" t="s">
        <v>218</v>
      </c>
    </row>
    <row r="42" spans="2:24" x14ac:dyDescent="0.15">
      <c r="K42" s="112">
        <v>2</v>
      </c>
      <c r="L42" s="113" t="s">
        <v>395</v>
      </c>
      <c r="M42" s="113" t="s">
        <v>210</v>
      </c>
      <c r="N42" s="132" t="s">
        <v>413</v>
      </c>
      <c r="O42" s="132"/>
      <c r="P42" s="132" t="s">
        <v>414</v>
      </c>
      <c r="Q42" s="113" t="s">
        <v>219</v>
      </c>
      <c r="R42" s="113" t="s">
        <v>219</v>
      </c>
      <c r="S42" s="113" t="s">
        <v>219</v>
      </c>
      <c r="T42" s="131" t="s">
        <v>219</v>
      </c>
      <c r="U42" s="131" t="s">
        <v>219</v>
      </c>
    </row>
    <row r="43" spans="2:24" x14ac:dyDescent="0.15">
      <c r="K43" s="112">
        <v>3</v>
      </c>
      <c r="L43" s="113" t="s">
        <v>396</v>
      </c>
      <c r="M43" s="113" t="s">
        <v>211</v>
      </c>
      <c r="N43" s="132" t="s">
        <v>413</v>
      </c>
      <c r="O43" s="132"/>
      <c r="P43" s="132" t="s">
        <v>415</v>
      </c>
      <c r="Q43" s="113" t="s">
        <v>218</v>
      </c>
      <c r="R43" s="113" t="s">
        <v>218</v>
      </c>
      <c r="S43" s="113" t="s">
        <v>218</v>
      </c>
      <c r="T43" s="113" t="s">
        <v>218</v>
      </c>
      <c r="U43" s="113" t="s">
        <v>218</v>
      </c>
    </row>
    <row r="44" spans="2:24" x14ac:dyDescent="0.15">
      <c r="K44" s="112">
        <v>4</v>
      </c>
      <c r="L44" s="113" t="s">
        <v>397</v>
      </c>
      <c r="M44" s="113" t="s">
        <v>225</v>
      </c>
      <c r="N44" s="132" t="s">
        <v>413</v>
      </c>
      <c r="O44" s="132"/>
      <c r="P44" s="132"/>
      <c r="Q44" s="113" t="s">
        <v>220</v>
      </c>
      <c r="R44" s="113" t="s">
        <v>220</v>
      </c>
      <c r="S44" s="113" t="s">
        <v>220</v>
      </c>
      <c r="T44" s="113" t="s">
        <v>221</v>
      </c>
      <c r="U44" s="113" t="s">
        <v>322</v>
      </c>
    </row>
    <row r="45" spans="2:24" x14ac:dyDescent="0.15">
      <c r="K45" s="112">
        <v>5</v>
      </c>
      <c r="L45" s="113" t="s">
        <v>398</v>
      </c>
      <c r="M45" s="113" t="s">
        <v>402</v>
      </c>
      <c r="N45" s="132" t="s">
        <v>415</v>
      </c>
      <c r="O45" s="132"/>
      <c r="P45" s="132"/>
      <c r="Q45" s="113" t="s">
        <v>350</v>
      </c>
      <c r="R45" s="113" t="s">
        <v>350</v>
      </c>
      <c r="S45" s="113" t="s">
        <v>350</v>
      </c>
      <c r="T45" s="113" t="s">
        <v>350</v>
      </c>
      <c r="U45" s="113" t="s">
        <v>350</v>
      </c>
    </row>
    <row r="46" spans="2:24" x14ac:dyDescent="0.15">
      <c r="K46" s="112">
        <v>6</v>
      </c>
      <c r="L46" s="113" t="s">
        <v>399</v>
      </c>
      <c r="M46" s="113" t="s">
        <v>403</v>
      </c>
      <c r="N46" s="132" t="s">
        <v>415</v>
      </c>
      <c r="O46" s="132"/>
      <c r="P46" s="132"/>
      <c r="Q46" s="113" t="s">
        <v>351</v>
      </c>
      <c r="R46" s="113" t="s">
        <v>351</v>
      </c>
      <c r="S46" s="113" t="s">
        <v>352</v>
      </c>
      <c r="T46" s="113" t="s">
        <v>353</v>
      </c>
      <c r="U46" s="113" t="s">
        <v>353</v>
      </c>
    </row>
    <row r="47" spans="2:24" x14ac:dyDescent="0.15">
      <c r="K47" s="112">
        <v>7</v>
      </c>
      <c r="L47" s="113" t="s">
        <v>408</v>
      </c>
      <c r="M47" s="113" t="s">
        <v>404</v>
      </c>
      <c r="N47" s="132" t="s">
        <v>415</v>
      </c>
      <c r="O47" s="132"/>
      <c r="P47" s="132"/>
      <c r="Q47" s="113"/>
      <c r="R47" s="113"/>
      <c r="S47" s="113"/>
      <c r="T47" s="113"/>
      <c r="U47" s="113"/>
    </row>
    <row r="48" spans="2:24" x14ac:dyDescent="0.15">
      <c r="K48" s="112">
        <v>8</v>
      </c>
      <c r="L48" s="113" t="s">
        <v>407</v>
      </c>
      <c r="M48" s="113" t="s">
        <v>407</v>
      </c>
      <c r="N48" s="132" t="s">
        <v>413</v>
      </c>
      <c r="O48" s="132"/>
      <c r="P48" s="132"/>
      <c r="Q48" s="113"/>
      <c r="R48" s="113"/>
      <c r="S48" s="113"/>
      <c r="T48" s="113"/>
      <c r="U48" s="113"/>
    </row>
    <row r="49" spans="11:22" x14ac:dyDescent="0.15">
      <c r="K49" s="112">
        <v>9</v>
      </c>
      <c r="L49" s="113" t="s">
        <v>409</v>
      </c>
      <c r="M49" s="113" t="s">
        <v>410</v>
      </c>
      <c r="N49" s="132" t="str">
        <f>IF(cc&gt;1600,"CATEGORÍA II","CATEGORÍA I.")</f>
        <v>CATEGORÍA I.</v>
      </c>
      <c r="O49" s="132"/>
      <c r="P49" s="128"/>
      <c r="Q49" s="113"/>
      <c r="R49" s="113"/>
      <c r="S49" s="113"/>
      <c r="T49" s="113"/>
      <c r="U49" s="113"/>
    </row>
    <row r="50" spans="11:22" x14ac:dyDescent="0.15">
      <c r="K50" s="112">
        <v>10</v>
      </c>
      <c r="L50" s="113" t="s">
        <v>411</v>
      </c>
      <c r="M50" s="113" t="s">
        <v>412</v>
      </c>
      <c r="N50" s="132" t="s">
        <v>414</v>
      </c>
      <c r="O50" s="132"/>
      <c r="P50" s="128"/>
      <c r="Q50" s="130"/>
      <c r="R50" s="130"/>
      <c r="S50" s="113"/>
      <c r="T50" s="113"/>
      <c r="U50" s="113"/>
    </row>
    <row r="51" spans="11:22" x14ac:dyDescent="0.15">
      <c r="K51" s="112">
        <v>11</v>
      </c>
      <c r="L51" s="113" t="s">
        <v>400</v>
      </c>
      <c r="M51" s="113" t="s">
        <v>405</v>
      </c>
      <c r="N51" s="132" t="s">
        <v>414</v>
      </c>
      <c r="O51" s="132"/>
    </row>
    <row r="52" spans="11:22" x14ac:dyDescent="0.15">
      <c r="K52" s="112">
        <v>12</v>
      </c>
      <c r="L52" s="113" t="s">
        <v>401</v>
      </c>
      <c r="M52" s="113" t="s">
        <v>406</v>
      </c>
      <c r="N52" s="132" t="s">
        <v>414</v>
      </c>
      <c r="O52" s="132"/>
    </row>
    <row r="53" spans="11:22" x14ac:dyDescent="0.15">
      <c r="K53" s="112">
        <v>13</v>
      </c>
      <c r="L53" s="113"/>
      <c r="M53" s="113"/>
      <c r="N53" s="132"/>
      <c r="O53" s="132"/>
    </row>
    <row r="54" spans="11:22" x14ac:dyDescent="0.15">
      <c r="K54" s="112">
        <v>14</v>
      </c>
      <c r="L54" s="113"/>
      <c r="M54" s="113"/>
      <c r="N54" s="132"/>
      <c r="O54" s="132"/>
    </row>
    <row r="55" spans="11:22" x14ac:dyDescent="0.15">
      <c r="K55" s="112">
        <v>15</v>
      </c>
      <c r="L55" s="113"/>
      <c r="M55" s="113"/>
      <c r="N55" s="132"/>
      <c r="O55" s="132"/>
    </row>
    <row r="56" spans="11:22" x14ac:dyDescent="0.15">
      <c r="K56" s="112">
        <v>16</v>
      </c>
      <c r="L56" s="113"/>
      <c r="M56" s="113"/>
      <c r="N56" s="132"/>
      <c r="O56" s="132"/>
    </row>
    <row r="57" spans="11:22" x14ac:dyDescent="0.15">
      <c r="K57" s="112">
        <v>17</v>
      </c>
      <c r="L57" s="113"/>
      <c r="M57" s="113"/>
      <c r="N57" s="132"/>
      <c r="O57" s="132"/>
    </row>
    <row r="58" spans="11:22" x14ac:dyDescent="0.15">
      <c r="K58" s="112">
        <v>18</v>
      </c>
      <c r="L58" s="113"/>
      <c r="M58" s="113"/>
      <c r="N58" s="132"/>
      <c r="O58" s="132"/>
    </row>
    <row r="59" spans="11:22" x14ac:dyDescent="0.15">
      <c r="K59" s="112">
        <v>19</v>
      </c>
      <c r="L59" s="113"/>
      <c r="M59" s="113"/>
      <c r="N59" s="132"/>
      <c r="O59" s="132"/>
    </row>
    <row r="60" spans="11:22" x14ac:dyDescent="0.15">
      <c r="K60" s="112">
        <v>20</v>
      </c>
      <c r="L60" s="113"/>
      <c r="M60" s="113"/>
      <c r="N60" s="132"/>
      <c r="O60" s="132"/>
    </row>
    <row r="61" spans="11:22" x14ac:dyDescent="0.15">
      <c r="U61" s="34"/>
      <c r="V61" s="34"/>
    </row>
  </sheetData>
  <mergeCells count="2">
    <mergeCell ref="A1:J1"/>
    <mergeCell ref="K1:M1"/>
  </mergeCells>
  <phoneticPr fontId="25" type="noConversion"/>
  <hyperlinks>
    <hyperlink ref="J24" r:id="rId1" xr:uid="{F3069B57-2076-3E48-9CC9-05FA81E588E1}"/>
    <hyperlink ref="J19" r:id="rId2" xr:uid="{5341B40A-20DA-B243-B7C4-F93117028AF5}"/>
    <hyperlink ref="J17" r:id="rId3" xr:uid="{938A8669-B620-7743-B5CE-4EED790CF8E1}"/>
    <hyperlink ref="J18" r:id="rId4" xr:uid="{10F45AC8-A136-2C47-82B0-D9DB6FB3326D}"/>
    <hyperlink ref="J20" r:id="rId5" xr:uid="{06CDD902-11D8-C34E-B95C-AC055ED45AA7}"/>
    <hyperlink ref="J21" r:id="rId6" xr:uid="{9C7150E2-A443-E04E-A636-02C2F8548C61}"/>
    <hyperlink ref="J3" r:id="rId7" xr:uid="{F42BC998-8477-5E4E-AC48-E67F7C1396BB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39</vt:i4>
      </vt:variant>
    </vt:vector>
  </HeadingPairs>
  <TitlesOfParts>
    <vt:vector size="44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2022-11-17T11:41:32Z</dcterms:modified>
</cp:coreProperties>
</file>